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3990" windowWidth="15120" windowHeight="3840" activeTab="0"/>
  </bookViews>
  <sheets>
    <sheet name="МСУ" sheetId="1" r:id="rId1"/>
  </sheets>
  <definedNames>
    <definedName name="_Otchet_Period_Source__AT_ObjectName">#REF!</definedName>
    <definedName name="_xlnm.Print_Titles" localSheetId="0">'МСУ'!$5:$8</definedName>
    <definedName name="_xlnm.Print_Area" localSheetId="0">'МСУ'!$A$1:$M$549</definedName>
  </definedNames>
  <calcPr fullCalcOnLoad="1"/>
</workbook>
</file>

<file path=xl/sharedStrings.xml><?xml version="1.0" encoding="utf-8"?>
<sst xmlns="http://schemas.openxmlformats.org/spreadsheetml/2006/main" count="2374" uniqueCount="1019">
  <si>
    <t>Начальник управления</t>
  </si>
  <si>
    <t>(подпись)</t>
  </si>
  <si>
    <t>(расшифровка подписи)</t>
  </si>
  <si>
    <t>Кузнецова Л.П.</t>
  </si>
  <si>
    <t>УРИ</t>
  </si>
  <si>
    <t>0111</t>
  </si>
  <si>
    <t>870</t>
  </si>
  <si>
    <t xml:space="preserve">по нормативным правовым актам </t>
  </si>
  <si>
    <t>0412</t>
  </si>
  <si>
    <t>0113</t>
  </si>
  <si>
    <t>0409</t>
  </si>
  <si>
    <t>1003</t>
  </si>
  <si>
    <t>0709</t>
  </si>
  <si>
    <t>Нормативное правовое регулирование, определяющее финансовое обеспечение и порядок расходования средств</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</si>
  <si>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</si>
  <si>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</si>
  <si>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</si>
  <si>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гр.1</t>
  </si>
  <si>
    <t>гр.2</t>
  </si>
  <si>
    <t>гр.3</t>
  </si>
  <si>
    <t>гр.4</t>
  </si>
  <si>
    <t>гр.5</t>
  </si>
  <si>
    <t>гр.6</t>
  </si>
  <si>
    <t>гр.7</t>
  </si>
  <si>
    <t>гр.8</t>
  </si>
  <si>
    <t>гр.9</t>
  </si>
  <si>
    <t>гр.10</t>
  </si>
  <si>
    <t>гр.11</t>
  </si>
  <si>
    <t>гр.12</t>
  </si>
  <si>
    <t>Наименование главного распорядителя бюджетных средств</t>
  </si>
  <si>
    <t>Объем средств на исполнение расходного обязательства (тыс.рублей)</t>
  </si>
  <si>
    <t xml:space="preserve">финансовый год +1 </t>
  </si>
  <si>
    <t xml:space="preserve">финансовый год +2 </t>
  </si>
  <si>
    <t xml:space="preserve">Наименование полномочия расходного обязательства </t>
  </si>
  <si>
    <t>Код  бюджетной классификации (Раздел, Подраздел)</t>
  </si>
  <si>
    <t>Код  бюджетной классификации (Код вида расходов)</t>
  </si>
  <si>
    <t>Код  бюджетной классификации (Код целевой статьи расходов)</t>
  </si>
  <si>
    <t>120</t>
  </si>
  <si>
    <t>240</t>
  </si>
  <si>
    <t>850</t>
  </si>
  <si>
    <t>810</t>
  </si>
  <si>
    <t>0405</t>
  </si>
  <si>
    <t>610</t>
  </si>
  <si>
    <t>0707</t>
  </si>
  <si>
    <t>п.3</t>
  </si>
  <si>
    <t>первоначальный план</t>
  </si>
  <si>
    <t>0408</t>
  </si>
  <si>
    <t>Информационное обеспечение малого и среднего предпринимательства</t>
  </si>
  <si>
    <t>Создание механизмов, обеспечивающих повышение инвестиционной привлекательности района</t>
  </si>
  <si>
    <t>Повышение безопасности дорожных условий автомобильных дорог</t>
  </si>
  <si>
    <t>Снижение рисков и смягчение последствий ЧС природного и техногенного характера</t>
  </si>
  <si>
    <t xml:space="preserve">Создание условий для привлечения педагогических работников в систему образования </t>
  </si>
  <si>
    <t>Подпрограмма "Создание условий для занятий физической культурой и спортом лиц с ограниченными возможностями здоровья"</t>
  </si>
  <si>
    <t>630</t>
  </si>
  <si>
    <t>0500000000</t>
  </si>
  <si>
    <t>0800000000</t>
  </si>
  <si>
    <t>0700000000</t>
  </si>
  <si>
    <t>0710000000</t>
  </si>
  <si>
    <t>0720000000</t>
  </si>
  <si>
    <t>0730000000</t>
  </si>
  <si>
    <t>Обеспечение проведения физкультурно-массовых и спортивных мероприятий для лиц с ограниченными возможностями</t>
  </si>
  <si>
    <t>Участие команд и отдельных спортсменов с ограниченными возможностями здоровья в краевых, всероссийских и международных соревнованиях</t>
  </si>
  <si>
    <t>0100000000</t>
  </si>
  <si>
    <t>0200000000</t>
  </si>
  <si>
    <t>0300000000</t>
  </si>
  <si>
    <t>0610000000</t>
  </si>
  <si>
    <t>0620000000</t>
  </si>
  <si>
    <t>0600000000</t>
  </si>
  <si>
    <t>2100000000</t>
  </si>
  <si>
    <t>Развитие кадрового потенциала в сельском хозяйсве</t>
  </si>
  <si>
    <t>1000000000</t>
  </si>
  <si>
    <t>1010000000</t>
  </si>
  <si>
    <t>1020000000</t>
  </si>
  <si>
    <t>0702</t>
  </si>
  <si>
    <t>0400000000</t>
  </si>
  <si>
    <t>0701</t>
  </si>
  <si>
    <t>Компенсация за жилье детям, проживающим в сельской местности и обучающимся на 3-й ступени обучения</t>
  </si>
  <si>
    <t xml:space="preserve">Оганизациия и осуществление перевозок обучающихся, проживающих на территории района, иными организациями </t>
  </si>
  <si>
    <t>Осуществление перевозок обучающихся, проживающих на территории района</t>
  </si>
  <si>
    <t>Подпрограмма "Дополнительное образование и воспитание детей"</t>
  </si>
  <si>
    <t>Совершенствование работы с одаренными детьми</t>
  </si>
  <si>
    <t xml:space="preserve">Приведение в нормативное состояние образовательных организаций </t>
  </si>
  <si>
    <t>Обеспечение бесперебойного функционирования зданий (сооружений) муниципальных организаций</t>
  </si>
  <si>
    <t xml:space="preserve">Обновление книжных фондов. Обеспечение модельного стандарта библиотеки </t>
  </si>
  <si>
    <t>0801</t>
  </si>
  <si>
    <t>Организация отдыха детей в каникулярное время</t>
  </si>
  <si>
    <t>Реализация основных общеобразовательных программ среднего общего образования</t>
  </si>
  <si>
    <t>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</si>
  <si>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0630000000</t>
  </si>
  <si>
    <t>0430000000</t>
  </si>
  <si>
    <t>0420000000</t>
  </si>
  <si>
    <t>0410000000</t>
  </si>
  <si>
    <t>п.2</t>
  </si>
  <si>
    <t xml:space="preserve">Информирование населения о деятельности органов местного самоуправления посредством радио, телевидения, печатных изданий </t>
  </si>
  <si>
    <t>24.05.2016-бессрочно</t>
  </si>
  <si>
    <t xml:space="preserve">Решение Земского собрания ОМР от 24.05.2016 № 521 "Об утверждении Положения об организации отдыха детей в каникулярное время в муниципальных образовательных организациях Осинского муниципального района" </t>
  </si>
  <si>
    <t>п.5.1</t>
  </si>
  <si>
    <t>п.1.2.</t>
  </si>
  <si>
    <t>0703</t>
  </si>
  <si>
    <t>Информирование населения об организации перевозок пассажиров автомобильным транспортом</t>
  </si>
  <si>
    <t>Информационное и организационное сопровождение сельскохозяйственных товаропроизводителей</t>
  </si>
  <si>
    <t>1001</t>
  </si>
  <si>
    <t>310</t>
  </si>
  <si>
    <t>0314</t>
  </si>
  <si>
    <t>статья 5</t>
  </si>
  <si>
    <t>Реализациия основных общеобразовательных программ основного общего образования</t>
  </si>
  <si>
    <t>Присмотр и уход (город)</t>
  </si>
  <si>
    <t>Присмотр и уход (село)</t>
  </si>
  <si>
    <t>Здоровьесбережение работников сферы образования как условие качества обучения</t>
  </si>
  <si>
    <t>раздел 7 п. 7.1                         п. 3;                         в целом</t>
  </si>
  <si>
    <t>Здоровьесбережение работников сферы искусств</t>
  </si>
  <si>
    <t xml:space="preserve">опубликование сообщений в СМИ </t>
  </si>
  <si>
    <t>410</t>
  </si>
  <si>
    <t>Муниципальная программа "Совершенствование муниципальной службы в Осинском городском округе"</t>
  </si>
  <si>
    <t>0300200001</t>
  </si>
  <si>
    <t>Муниципальная программа "Улучшение гражданского единства и гармонизации межнациональных отношений на территории Осинского городского округа"</t>
  </si>
  <si>
    <t>1300100010</t>
  </si>
  <si>
    <t>Профилактика межэтнических конфликтов на территории округа</t>
  </si>
  <si>
    <t>Поддержание стабильной общественно-политической обстановки, общественных инициатив и целевых проектов общественных объединений, некоммерческих организаций, направленных на гармонизацию межнациональных отношений в округе</t>
  </si>
  <si>
    <t>1300100020</t>
  </si>
  <si>
    <t>1300100030</t>
  </si>
  <si>
    <t>Формирование позитивного имиджа округа, комфортного для проживания представителей любой национальности и конфессии</t>
  </si>
  <si>
    <t>Реализация мероприятий по укреплению единства российской нации и этнокультурному развитию народов России</t>
  </si>
  <si>
    <t>1300100040</t>
  </si>
  <si>
    <t>2100000001</t>
  </si>
  <si>
    <t>0320100025</t>
  </si>
  <si>
    <t>Муниципальная программа «Обеспечение безопасности жизнедеятельности населения и территории Осинского городского округа»</t>
  </si>
  <si>
    <t xml:space="preserve">Организация и осуществление мероприятий по профилактике терроризма и экстремизма, гражданской и территориальной обороне </t>
  </si>
  <si>
    <t>Пенсионное обеспечение за выслугу лет</t>
  </si>
  <si>
    <t>Реестр расходных обязательств Осинского городского округа Пермского края по действущим НПА</t>
  </si>
  <si>
    <t>2500</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</si>
  <si>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</si>
  <si>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</si>
  <si>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</si>
  <si>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</si>
  <si>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</si>
  <si>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</si>
  <si>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предоставление доплаты за выслугу лет к трудовой пенсии муниципальным служащим за счет средств местного бюджета</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</si>
  <si>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</si>
  <si>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2501</t>
  </si>
  <si>
    <t>2600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</si>
  <si>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</si>
  <si>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</si>
  <si>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3400</t>
  </si>
  <si>
    <t>3401</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</si>
  <si>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всего</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</si>
  <si>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городской местности</t>
    </r>
    <r>
      <rPr>
        <sz val="11"/>
        <rFont val="Times New Roman"/>
        <family val="1"/>
      </rPr>
      <t>)</t>
    </r>
  </si>
  <si>
    <t>Условно утвержденные расходы на первый и второй годы планового периода в соответствии с решением о местном бюджете</t>
  </si>
  <si>
    <t>3600</t>
  </si>
  <si>
    <t>владение, пользование и распоряжение имуществом, находящимся в муниципальной собственности городского округа</t>
  </si>
  <si>
    <t>2504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</si>
  <si>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</si>
  <si>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</si>
  <si>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</si>
  <si>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</si>
  <si>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2517</t>
  </si>
  <si>
    <t>2522</t>
  </si>
  <si>
    <r>
      <t xml:space="preserve">организация предоставления общедоступного и бесплатного </t>
    </r>
    <r>
      <rPr>
        <b/>
        <sz val="11"/>
        <rFont val="Times New Roman"/>
        <family val="1"/>
      </rPr>
      <t xml:space="preserve">дошкольного образования </t>
    </r>
    <r>
      <rPr>
        <sz val="11"/>
        <rFont val="Times New Roman"/>
        <family val="1"/>
      </rPr>
      <t>(за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r>
  </si>
  <si>
    <t>2523</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</si>
  <si>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городской местности</t>
    </r>
    <r>
      <rPr>
        <sz val="11"/>
        <rFont val="Times New Roman"/>
        <family val="1"/>
      </rPr>
      <t>)</t>
    </r>
  </si>
  <si>
    <t>2524</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</si>
  <si>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сельской местности</t>
    </r>
    <r>
      <rPr>
        <sz val="11"/>
        <rFont val="Times New Roman"/>
        <family val="1"/>
      </rPr>
      <t>)</t>
    </r>
  </si>
  <si>
    <t>2525</t>
  </si>
  <si>
    <r>
      <t xml:space="preserve">организация предоставления </t>
    </r>
    <r>
      <rPr>
        <b/>
        <sz val="11"/>
        <rFont val="Times New Roman"/>
        <family val="1"/>
      </rPr>
      <t xml:space="preserve">дополнительного образования </t>
    </r>
    <r>
      <rPr>
        <sz val="11"/>
        <rFont val="Times New Roman"/>
        <family val="1"/>
      </rPr>
      <t>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r>
  </si>
  <si>
    <t>2526</t>
  </si>
  <si>
    <r>
      <t xml:space="preserve">осуществление в пределах своих полномочий мероприятий по обеспечению </t>
    </r>
    <r>
      <rPr>
        <b/>
        <sz val="11"/>
        <rFont val="Times New Roman"/>
        <family val="1"/>
      </rPr>
      <t>организации отдыха детей в каникулярное время</t>
    </r>
    <r>
      <rPr>
        <sz val="11"/>
        <rFont val="Times New Roman"/>
        <family val="1"/>
      </rPr>
      <t>, включая мероприятия по обеспечению безопасности их жизни и здоровья</t>
    </r>
  </si>
  <si>
    <t>2527</t>
  </si>
  <si>
    <r>
      <t xml:space="preserve">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t>
    </r>
    <r>
      <rPr>
        <b/>
        <sz val="11"/>
        <rFont val="Times New Roman"/>
        <family val="1"/>
      </rPr>
      <t>межшкольные учебные комбинаты,</t>
    </r>
    <r>
      <rPr>
        <sz val="11"/>
        <rFont val="Times New Roman"/>
        <family val="1"/>
      </rPr>
      <t xml:space="preserve"> хозяйственные эксплуатационные конторы и другие))</t>
    </r>
  </si>
  <si>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</si>
  <si>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</si>
  <si>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создание условий для организации досуга и обеспечения жителей городского округа услугами организаций культуры</t>
  </si>
  <si>
    <t>2531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</si>
  <si>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</si>
  <si>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</si>
  <si>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создание условий для расширения рынка сельскохозяйственной продукции, сырья и продовольствия</t>
  </si>
  <si>
    <t>2552</t>
  </si>
  <si>
    <t>содействие развитию малого и среднего предпринимательства</t>
  </si>
  <si>
    <t>2553</t>
  </si>
  <si>
    <t>обеспечение условий для развития на территории городского округа физической культуры, школьного спорта и массового спорта</t>
  </si>
  <si>
    <t>2534</t>
  </si>
  <si>
    <t>организация и осуществление мероприятий по работе с детьми и молодежью в городском округе</t>
  </si>
  <si>
    <t>2555</t>
  </si>
  <si>
    <t>Муниципальная программа "Эффективное управление земельными ресурсами и имуществом Осинского городского округа"</t>
  </si>
  <si>
    <t>1010100100</t>
  </si>
  <si>
    <t>содержание объектов, находящихся в муниципальной собственности Осинского городского округа</t>
  </si>
  <si>
    <t>1010100101</t>
  </si>
  <si>
    <t>01.01.2020-бессрочно</t>
  </si>
  <si>
    <t>110</t>
  </si>
  <si>
    <t>1010100108</t>
  </si>
  <si>
    <t>консультационное и технологическое сопровождение автоматизированной программы по управлению муниципальным имуществом</t>
  </si>
  <si>
    <t>1010100110</t>
  </si>
  <si>
    <t>Вовлечение земельных участков в хозяйственный оборот</t>
  </si>
  <si>
    <t>1020100100</t>
  </si>
  <si>
    <t>Увеличение доходов от предоставления земельных участков</t>
  </si>
  <si>
    <t>1020100200</t>
  </si>
  <si>
    <t>Подпрограмма "Совершенствование и развитие сети автомобильных дорог общего пользования местного значения в границах Осинского городского округа"</t>
  </si>
  <si>
    <t>Муниципальная программа "Развитие транспортной системы Осинского городского округа"</t>
  </si>
  <si>
    <t>Выполнение ремонта автомобильных дорог</t>
  </si>
  <si>
    <t xml:space="preserve">Подпрограмма "Повышение безопасности дорожного движения на автомобильных дорогах общего пользования местного значения в границах Осинского городского округа"                                                                                                                                                                               </t>
  </si>
  <si>
    <t>0620100010</t>
  </si>
  <si>
    <t>Подпрограмма "Транспортное сообщение в границах Осинского городского округа"</t>
  </si>
  <si>
    <t>Выполнение работ по перевозке пассажиров и багажа автомобильным транспортом (кроме такси) на маршрутах регулярных перевозок по регулируемым тарифам на территории Осинского городского округа</t>
  </si>
  <si>
    <t>0630100011</t>
  </si>
  <si>
    <t>0630100012</t>
  </si>
  <si>
    <t>2516</t>
  </si>
  <si>
    <t>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</si>
  <si>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</si>
  <si>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</si>
  <si>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</si>
  <si>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Подпрограмма "Развитие газификации Осинского городского округа"</t>
  </si>
  <si>
    <t>Муниципальная программа "Развитие инфраструктуры Осинского городского округа"</t>
  </si>
  <si>
    <t>0502</t>
  </si>
  <si>
    <t>Подпрограмма "Развитие системы водоснабжения и водоотведения Осинского городского округа"</t>
  </si>
  <si>
    <t>Строительство, ремонт сетей водоснабжения и водоотведения</t>
  </si>
  <si>
    <t>Подпрограмма "Развитие системы теплоснабжения Осинского городского округа"</t>
  </si>
  <si>
    <t>Строительство, реконструкция, модернизация, ремонт системы теплоснабжения</t>
  </si>
  <si>
    <t>2538</t>
  </si>
  <si>
    <t>2539</t>
  </si>
  <si>
    <t>2541</t>
  </si>
  <si>
    <t>2542</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</si>
  <si>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</si>
  <si>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</si>
  <si>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</si>
  <si>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</si>
  <si>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Муниципальная программа "Благоустройство территории Осинского городского округа"</t>
  </si>
  <si>
    <t>0900000000</t>
  </si>
  <si>
    <t>Содержание мест общего пользования и тропиночной сети</t>
  </si>
  <si>
    <t>0900100010</t>
  </si>
  <si>
    <t>Выполнение благоустройства мест общего пользования</t>
  </si>
  <si>
    <t>0900100020</t>
  </si>
  <si>
    <t>0503</t>
  </si>
  <si>
    <t>Муниципальная программа "Формирование современной городской среды Осинского городского округа"</t>
  </si>
  <si>
    <t>1400000000</t>
  </si>
  <si>
    <t>Повышение уровня благоустройства общественных территорий Осинского городского округа</t>
  </si>
  <si>
    <t>Муниципальная программа "Обеспечение безопасности жизнедеятельности населения и территории Осинского городского округа"</t>
  </si>
  <si>
    <t>Муниципальная  программа "Экономическое развитие Осинского городского округа"</t>
  </si>
  <si>
    <t>Подпрограмма "Развитие малого и среднего предпринимательства"</t>
  </si>
  <si>
    <t>0110000000</t>
  </si>
  <si>
    <t>Подпрограмма "Развитие сельского хозяйства"</t>
  </si>
  <si>
    <t>0120000000</t>
  </si>
  <si>
    <t>0120000040</t>
  </si>
  <si>
    <t>Муниципальная программа "Развитие физической культуры, спорта и формирование здорового образа жизни в Осинском городском округе"</t>
  </si>
  <si>
    <t>Подпрограмма "Развитие физической культуры и  массового спорта"</t>
  </si>
  <si>
    <t>Приобщение различных слоев населения Осинского городского округа к регулярным занятиям физической культурой и спортом</t>
  </si>
  <si>
    <t>0710100010</t>
  </si>
  <si>
    <t xml:space="preserve">Создание условий для развития спортивных учреждений </t>
  </si>
  <si>
    <t>Подпрограмма "Развитие спортивной инфраструктуры для занятий физической культурой и спортом"</t>
  </si>
  <si>
    <t>0730100010</t>
  </si>
  <si>
    <t>0730100020</t>
  </si>
  <si>
    <t>Муниципальная программа «Молодежная  политика Осинского городского округа»</t>
  </si>
  <si>
    <t>Подпрограмма «Развитие молодежной политики в  Осинском  городском округе»</t>
  </si>
  <si>
    <t>0210000000</t>
  </si>
  <si>
    <t>Повышение правовой культуры и формирование активной жизненной позиции</t>
  </si>
  <si>
    <t>0210100010</t>
  </si>
  <si>
    <t>Стимулирование социально- активной молодежи, поддержка творческих инициатив, развитие разнообразных молодежных платформ (объединений)</t>
  </si>
  <si>
    <t>0210100020</t>
  </si>
  <si>
    <t xml:space="preserve">Предупреждение правонарушений среди молодежи и совершенствование системы профилактики. </t>
  </si>
  <si>
    <t>0210100030</t>
  </si>
  <si>
    <t xml:space="preserve">Подпрограмма "Патриотическое и духовно - нравственное  воспитание молодежи Осинского городского округа" </t>
  </si>
  <si>
    <t>0220000000</t>
  </si>
  <si>
    <t>Содействие  военно- патриотическому и духовно- нравственному воспитанию молодежи</t>
  </si>
  <si>
    <t>0220100010</t>
  </si>
  <si>
    <t>Развитие волонтерского движения в Осинском городском округе</t>
  </si>
  <si>
    <t>0220100020</t>
  </si>
  <si>
    <t>320</t>
  </si>
  <si>
    <t>Муниципальная программа "Культура Осинского городского округа"</t>
  </si>
  <si>
    <t>Предоставление услуги по организации библиотечного, библиографического и информационного обслуживания населения</t>
  </si>
  <si>
    <t>Организация и проведение мероприятий в сфере библиотечного обслуживания</t>
  </si>
  <si>
    <t>Развитие системы дополнительного образования в сфере культуры</t>
  </si>
  <si>
    <t>Организация и проведение мероприятий в области искуства</t>
  </si>
  <si>
    <t>Обеспечение населения услугами культурно-досуговых учреждений</t>
  </si>
  <si>
    <t>Организация деятельности клубных формирований и формирований самодеятельного народного творчества (оказание муниципальных услуг в сфере культуры)</t>
  </si>
  <si>
    <t>Реализация культурных мероприятий (фестивалей, конкурсов)</t>
  </si>
  <si>
    <t>Муниципальная программа "Развитие системы образования Осинского  городского округа"</t>
  </si>
  <si>
    <t xml:space="preserve">Подпрограмма "Общее образование и кадровая политика"  </t>
  </si>
  <si>
    <t>0410100011</t>
  </si>
  <si>
    <t>620</t>
  </si>
  <si>
    <t xml:space="preserve"> Подпрограмма "Приведение образовательных организаций Осинского городского округа в нормативное состояние"</t>
  </si>
  <si>
    <t>0430100010</t>
  </si>
  <si>
    <t>0430100020</t>
  </si>
  <si>
    <t>Организация подвоза детей для участия в мероприятиях муниципального и регионального уровней</t>
  </si>
  <si>
    <t>0420100011</t>
  </si>
  <si>
    <t>Реализация дополнительных общеразвивающих программ (МБУ ДО "ЦДТ")</t>
  </si>
  <si>
    <t>0420100012</t>
  </si>
  <si>
    <t>0420100020</t>
  </si>
  <si>
    <t>0420100030</t>
  </si>
  <si>
    <t>0420100040</t>
  </si>
  <si>
    <t>0420100050</t>
  </si>
  <si>
    <t>Творческое развитие и воспитание детей, молодежи</t>
  </si>
  <si>
    <t>Формирование у обучающихся социальных компетенций, гражданских установок, культуры здорового образа жизни</t>
  </si>
  <si>
    <t>Содействие профессиональному самоуправлению выпускников школ</t>
  </si>
  <si>
    <t>0410100027</t>
  </si>
  <si>
    <t>2100000003</t>
  </si>
  <si>
    <t>Обеспечение выполнения функций МКУ "Осинский центр бухгалтерского учета"</t>
  </si>
  <si>
    <t>Муниципальная программа "Совершенствование муниципальной службы в ОГО"</t>
  </si>
  <si>
    <t>Подпрограмма "Обеспечение реализации муниципальной программы"</t>
  </si>
  <si>
    <t>0320000000</t>
  </si>
  <si>
    <t>Обеспечение выполнения функций администрации Осинского городского округа для реализации мероприятий подпрограмм</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</si>
  <si>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</si>
  <si>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2520</t>
  </si>
  <si>
    <t>2521</t>
  </si>
  <si>
    <t>Организация мероприятий по охране окружающей среды в границах округа</t>
  </si>
  <si>
    <t>2515</t>
  </si>
  <si>
    <t>Поддержание мобилизационной готовности органов управления и организаций городского округа на уровне, гарантирующем их перевод на работу в условиях военного времени</t>
  </si>
  <si>
    <t>01.01.2020 - бессрочно</t>
  </si>
  <si>
    <t>раздел 3; п.4.4</t>
  </si>
  <si>
    <t>раздел 3; п.4.5</t>
  </si>
  <si>
    <t>Муниципальная программа "Развитие системы образования Осинского городского округа"</t>
  </si>
  <si>
    <t>Подпрограмма "Общее образование и кадровая политика"</t>
  </si>
  <si>
    <t>0410100022</t>
  </si>
  <si>
    <t>в целом, в целом</t>
  </si>
  <si>
    <t>в целом</t>
  </si>
  <si>
    <t>0410100024</t>
  </si>
  <si>
    <t>0410100025</t>
  </si>
  <si>
    <t>0410100026</t>
  </si>
  <si>
    <t>Обеспечение бесплатным двухразовым питанием детей с ограниченными возможностями здоровья, обучающихся в общеобразовательных организациях</t>
  </si>
  <si>
    <t>0410100040</t>
  </si>
  <si>
    <t>Формирование у обучающихся культуры здорового образа жизни</t>
  </si>
  <si>
    <t>Подпрограмма "Приведение в нормативное состояние образовательных организаций"</t>
  </si>
  <si>
    <t>0410100021</t>
  </si>
  <si>
    <t>п.2.1.</t>
  </si>
  <si>
    <t>п.2.1</t>
  </si>
  <si>
    <t>п.2.2</t>
  </si>
  <si>
    <t>п.2.3</t>
  </si>
  <si>
    <t>01.01.2020 -бессрочно</t>
  </si>
  <si>
    <t>Проведение работ по акарицидной обработке открытых территорий общего пользования и дератизации  объектов в эпидемической сезон</t>
  </si>
  <si>
    <t>2550</t>
  </si>
  <si>
    <t>2557</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</si>
  <si>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</si>
  <si>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0104</t>
  </si>
  <si>
    <t>25.10.2019-бессрочно</t>
  </si>
  <si>
    <t>статья 4</t>
  </si>
  <si>
    <t>0106</t>
  </si>
  <si>
    <t>Выплаты материального стимулирования народным дружинникам за участие в охране общественного порядка</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</si>
  <si>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распределительных газопроводов)</t>
  </si>
  <si>
    <t>Реализация программ развития преобразованных муниципальных образований (строительство распределительных газопроводов)</t>
  </si>
  <si>
    <t>11101SP040</t>
  </si>
  <si>
    <t>11101SP180</t>
  </si>
  <si>
    <t>Реализация программ развития преобразованных муниципальных образований (строительство, ремонт сетей водоснабжения)</t>
  </si>
  <si>
    <t>11201SP180</t>
  </si>
  <si>
    <t>Реализация программ развития преобразованных муниципальных образований (благоустройство территории)</t>
  </si>
  <si>
    <t>09001SP180</t>
  </si>
  <si>
    <t>06101ST040</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</si>
  <si>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дворовых территорий)</t>
  </si>
  <si>
    <t>140F255551</t>
  </si>
  <si>
    <t>1400100020</t>
  </si>
  <si>
    <t>140F255552</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</si>
  <si>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общественных территорий)</t>
  </si>
  <si>
    <t>Реализация мероприятий, направленных на комплексное развитие сельских территорий (благоустройство сельских территорий)</t>
  </si>
  <si>
    <t>0410100042</t>
  </si>
  <si>
    <t>0410100030</t>
  </si>
  <si>
    <t>0410100041</t>
  </si>
  <si>
    <t>041012H040</t>
  </si>
  <si>
    <t xml:space="preserve">Единая субвенция на выполнение отдельных государственных полномочий органов государственной власти в сфере образования </t>
  </si>
  <si>
    <t>041012H020</t>
  </si>
  <si>
    <t>3403</t>
  </si>
  <si>
    <t>Реализация дополнительных предпрофессиональных программ в области искусств</t>
  </si>
  <si>
    <t>Реализация дополнительных общеразвивающих программ (вокал)</t>
  </si>
  <si>
    <t>1102</t>
  </si>
  <si>
    <t>07201SP180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</si>
  <si>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</si>
  <si>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04301SP040</t>
  </si>
  <si>
    <t>0410100012</t>
  </si>
  <si>
    <t>п.3; п.1.1; п.1.1</t>
  </si>
  <si>
    <t>п.3; п.1.1</t>
  </si>
  <si>
    <t>Реализация основных общеобразовательных программ основного общего образования (предоставление общедоступного и бесплатного дошкольного, начального, основного общего образования для обучающихся с ограниченными возможностями здоровья (Коррекционная школа)</t>
  </si>
  <si>
    <t>в целом, в целом, в целом</t>
  </si>
  <si>
    <t>в целом; п.4.4</t>
  </si>
  <si>
    <t xml:space="preserve">в целом; п.4.4      </t>
  </si>
  <si>
    <t>в целом, п.4.4</t>
  </si>
  <si>
    <t>п.1, в целом, в целом</t>
  </si>
  <si>
    <t>0102</t>
  </si>
  <si>
    <t>Развитие системы профессиональной переподготовки и повышения квалификации муниципальных служащих</t>
  </si>
  <si>
    <t>0310100020</t>
  </si>
  <si>
    <t>Подпрограмма "Развитие муниципальной службы Осинского городского округа"</t>
  </si>
  <si>
    <t>0310000000</t>
  </si>
  <si>
    <t>Организация обслуживания зданий администрации Осинского городского округа</t>
  </si>
  <si>
    <t>0320100022</t>
  </si>
  <si>
    <t>0320100023</t>
  </si>
  <si>
    <t>Предоставление услуг доступа к сети телематических услуг</t>
  </si>
  <si>
    <t>0320100024</t>
  </si>
  <si>
    <t>Проведение представительских расходов и расходов на мероприятия администрации Осинского городского округа, уплата взносов в Совет муниципальных образований Пермского края</t>
  </si>
  <si>
    <t>0300100001</t>
  </si>
  <si>
    <t xml:space="preserve">п.2; </t>
  </si>
  <si>
    <t>27.03.2008- бессрочно</t>
  </si>
  <si>
    <t>Дума ОГО</t>
  </si>
  <si>
    <t>0103</t>
  </si>
  <si>
    <t>Обеспечение выполнения функций МКУ "Транспортник"</t>
  </si>
  <si>
    <t>2100000002</t>
  </si>
  <si>
    <t>п.5.</t>
  </si>
  <si>
    <t>Мероприятия, осуществляемые органами местного самоуправления в рамках непрограммных направлений расходов</t>
  </si>
  <si>
    <t>КСП</t>
  </si>
  <si>
    <t xml:space="preserve">Резервный фонд администрации </t>
  </si>
  <si>
    <t>Предоставление услуг (проведение работ)</t>
  </si>
  <si>
    <t>0710100011</t>
  </si>
  <si>
    <t>0710100012</t>
  </si>
  <si>
    <t>Организация мероприятий в области физической культуры</t>
  </si>
  <si>
    <t>Реализация дополнительных профессиональных общеобразовательных программ повышения квалификации</t>
  </si>
  <si>
    <t>0800100020</t>
  </si>
  <si>
    <t>0800100021</t>
  </si>
  <si>
    <t>0800100022</t>
  </si>
  <si>
    <t>0800100023</t>
  </si>
  <si>
    <t>0800100025</t>
  </si>
  <si>
    <t>0800100012</t>
  </si>
  <si>
    <t>0800100030</t>
  </si>
  <si>
    <t>0800100031</t>
  </si>
  <si>
    <t>0800100032</t>
  </si>
  <si>
    <t>08001SP180</t>
  </si>
  <si>
    <t>2502</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</si>
  <si>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</si>
  <si>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раздел 3; п.3</t>
  </si>
  <si>
    <t>Постановление администрации ОМР от 10.12.2019 №1175  "Об установлении расходного обязательства по вопросам местного значения в сфере молодежной политики"</t>
  </si>
  <si>
    <t xml:space="preserve">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</si>
  <si>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rFont val="Times New Roman"/>
        <family val="1"/>
      </rPr>
      <t>в части дошкольного</t>
    </r>
    <r>
      <rPr>
        <sz val="11"/>
        <rFont val="Times New Roman"/>
        <family val="1"/>
      </rPr>
      <t xml:space="preserve"> </t>
    </r>
    <r>
      <rPr>
        <b/>
        <sz val="11"/>
        <rFont val="Times New Roman"/>
        <family val="1"/>
      </rPr>
      <t>образования</t>
    </r>
    <r>
      <rPr>
        <sz val="11"/>
        <rFont val="Times New Roman"/>
        <family val="1"/>
      </rPr>
      <t xml:space="preserve"> в муниципальных дошкольных образовательных организациях и муниципальных общеобразовательных организациях)</t>
    </r>
  </si>
  <si>
    <t>Подпрограмма "Развитие физической культуры и спорта"</t>
  </si>
  <si>
    <t>Реализация программ развития преобразованных муниципальных образований (ремонт ДК)</t>
  </si>
  <si>
    <t>Обустройство туристской инфраструктуры в муниципальных образованиях</t>
  </si>
  <si>
    <t>08001SЦ200</t>
  </si>
  <si>
    <t>Решение Думы ОГО от 13.12.2019 №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t>
  </si>
  <si>
    <t>13.12.2019-бессрочно</t>
  </si>
  <si>
    <t>Проведение землеустроительных и комплексных кадастровых работ</t>
  </si>
  <si>
    <t>10201SЦ140</t>
  </si>
  <si>
    <t>Обеспечение технического развития систем теплоснабжения, находящихся в муниципальной собственности,включающих разработку (корректировку) проектной документации, строительство, реконструкцию, модернизацию, капитальный ремонт, техническое перевооружение объектов систем теплоснабжения муниципальных образований</t>
  </si>
  <si>
    <t>11301SЖ520</t>
  </si>
  <si>
    <t>УФ</t>
  </si>
  <si>
    <t>Администрация ОГО</t>
  </si>
  <si>
    <t>0320100011</t>
  </si>
  <si>
    <t>УОиСР</t>
  </si>
  <si>
    <t>02101L4970</t>
  </si>
  <si>
    <t>Обеспечение жильем молодых семей в рамках федеральной целевой программы "Обеспечение доступным и комфортным жильем и коммунальными услугами граждан РФ (35%)</t>
  </si>
  <si>
    <t>Устройство спортивных площадок и оснащение объектов спортивным оборудованием и инвентарем для занятий физической культурой и спортом</t>
  </si>
  <si>
    <t>07201SФ130</t>
  </si>
  <si>
    <t>2623</t>
  </si>
  <si>
    <t>Реализация мероприятий по модернизации региональных и муниципальных детских школ искусств по видам искусств (ремонт здания МБОУ "ДШИ" по адресу: г.Оса,ул.Ленина,4а)</t>
  </si>
  <si>
    <t>08001L3060</t>
  </si>
  <si>
    <t>10101SP180</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</si>
  <si>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</si>
  <si>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0610100010</t>
  </si>
  <si>
    <t>код строки</t>
  </si>
  <si>
    <t>0710100022</t>
  </si>
  <si>
    <t>0710100021</t>
  </si>
  <si>
    <t>0120100020</t>
  </si>
  <si>
    <t>планируемый финансовый год (2021)</t>
  </si>
  <si>
    <t>плановый период (2022-2023)</t>
  </si>
  <si>
    <t>Обеспечение выполнения функций органов местного самоуправления администрации Осинского городского округа</t>
  </si>
  <si>
    <t>01.01.2021-бессрочно</t>
  </si>
  <si>
    <t>Возмещение командировачных расходов</t>
  </si>
  <si>
    <t>0320100027</t>
  </si>
  <si>
    <t>Решение Думы ОГО от 27.02.2020 № 122 "Об утверждении Положения о денежном содержании выборных должностных лиц Осинского городского округа, осуществляющих свои полномочия на постоянной основе"</t>
  </si>
  <si>
    <t>27.02.2020-бессрочно</t>
  </si>
  <si>
    <t>статья .5</t>
  </si>
  <si>
    <t>Постановление администрации ОГО от 22.04.2020 № 87 "Об утверждении Положения об оплате труда рабочих администрации Осинского городского округа"</t>
  </si>
  <si>
    <t>2548</t>
  </si>
  <si>
    <t>создание, содержание и организация деятельности аварийно-спасательных служб и (или) аварийно-спасательных формирований на территории муниципильного округа, городского округа</t>
  </si>
  <si>
    <t>Организация деятельности аварийно-спасательных формирований (АСФ)</t>
  </si>
  <si>
    <t>0501000040</t>
  </si>
  <si>
    <t>Основное мероприятие "Повышение уровня защищенности граждан и территории Осинского городского округа"</t>
  </si>
  <si>
    <t>Постановление Администрации ОГО от 30.12.2019 №1298 " Об утверждении положения об оплате труда работников муниципального казенного учреждения "Гражданская защита"</t>
  </si>
  <si>
    <t>п.7</t>
  </si>
  <si>
    <t>0501000000</t>
  </si>
  <si>
    <t>Обеспечение функционирования службы ЕДДС</t>
  </si>
  <si>
    <t>п.7.                            п.3</t>
  </si>
  <si>
    <t>01.01.2020-бессрочно  01.01.2020-бессрочно</t>
  </si>
  <si>
    <t>Организация деятельности "МКУ Гражданская защита"</t>
  </si>
  <si>
    <t>Муниципальная программа "Обеспечение безопасности жезнедеятельности населения и территории Осинского городского округа"</t>
  </si>
  <si>
    <t>участие в предупреждении и ликвидации последствий чрезвычайных ситуаций в границах муниципильного округа, городского округа</t>
  </si>
  <si>
    <t>обеспечение первичных мер пожарной безопасности в границах муниципильного округа, городского округа</t>
  </si>
  <si>
    <t>организация мероприятий по охране окружающей среды в границах муниципильного округа, городского округа</t>
  </si>
  <si>
    <t>0501000010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</si>
  <si>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муниципильного округа, городского округа</t>
  </si>
  <si>
    <t>0501000020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</si>
  <si>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муниципильного округа, городского округа</t>
  </si>
  <si>
    <t>0501000030</t>
  </si>
  <si>
    <t>0501000050</t>
  </si>
  <si>
    <t>Снижение уровня преступности и повышение роли общественности в укреплении законности и правопорядка на территории Осинского городского округа</t>
  </si>
  <si>
    <t>05010SП020</t>
  </si>
  <si>
    <t>0501000060</t>
  </si>
  <si>
    <t>2519</t>
  </si>
  <si>
    <t>предоставление помещения для работы на обслуживаемом административном участке муниципильного округа, городского округа сотруднику, замещающему должность участкового уполномоченного полиции</t>
  </si>
  <si>
    <t>2540</t>
  </si>
  <si>
    <t>утверждение правил благоустройства территории муниципильного округа, городского округа, осуществление контроля за их соблюдением</t>
  </si>
  <si>
    <t>Осуществление муниципального контроля</t>
  </si>
  <si>
    <t>1700100051</t>
  </si>
  <si>
    <t>Издание информационных материалов о реализации общественных инициатив</t>
  </si>
  <si>
    <t>Основное мероприятие "Создание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t>
  </si>
  <si>
    <t>1700100000</t>
  </si>
  <si>
    <t>1700000000</t>
  </si>
  <si>
    <t>Муниципальная программа "Развитие и поддержка общественных инициатив на территории Осинского городского округа"</t>
  </si>
  <si>
    <t>Участие в реализации проектов инициативного бюджетирования и проектов ТОС</t>
  </si>
  <si>
    <t>Организация и проведение конкурса социальных и культурных проектов ОГО</t>
  </si>
  <si>
    <t>Организация и проведение конкурса снежных городков и снежных скульптур "Новогодняя фантазия"</t>
  </si>
  <si>
    <t>1700100021</t>
  </si>
  <si>
    <t>1700100022</t>
  </si>
  <si>
    <t>1700100023</t>
  </si>
  <si>
    <t>УРЭИиЗО</t>
  </si>
  <si>
    <t>Подпрограмма "Муниципальное имущество Осинского городского округа"</t>
  </si>
  <si>
    <t>Обеспечение сохранности, содержания и управления муниципальным имуществом Осинского городского округа</t>
  </si>
  <si>
    <t>ведение претензионно-исковой работы по взысканию задолженности за наем помещений</t>
  </si>
  <si>
    <t>направление уведомлений об оплате за наем помещений</t>
  </si>
  <si>
    <t>1010100112</t>
  </si>
  <si>
    <t>1010100113</t>
  </si>
  <si>
    <t>Подпрограмма "Земельные ресурсы Осинского городского округа"</t>
  </si>
  <si>
    <t xml:space="preserve">Управление муниципальным жилищным фондом Осинского городского округа </t>
  </si>
  <si>
    <t>1010100300</t>
  </si>
  <si>
    <t xml:space="preserve">Приведение в нормативное состояние муниципального жилищного фонда </t>
  </si>
  <si>
    <t>1010100301</t>
  </si>
  <si>
    <t>2615</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</si>
  <si>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</si>
  <si>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Основное мероприятие "Разработка документа стратегического пространственного планирования города (мастер-плана)"</t>
  </si>
  <si>
    <t>0100100000</t>
  </si>
  <si>
    <t>0100100001</t>
  </si>
  <si>
    <t>Разработка документа стратегического пространственного планирования города (мастер-плана)</t>
  </si>
  <si>
    <t>2551</t>
  </si>
  <si>
    <t>осуществление мероприятий по обеспечению безопасности людей на водных объектах, охране их жизни и здоровья</t>
  </si>
  <si>
    <t>Повышение уровня безопасности граждан в повседневной жизни (повышение уровня общей защищенности граждан)</t>
  </si>
  <si>
    <t>0406</t>
  </si>
  <si>
    <t>Основное мероприятие "Создание условий для обеспечения равного доступа к культурным ценностям и творческой самореализации жителей Осинского городского округа"</t>
  </si>
  <si>
    <t>0800100000</t>
  </si>
  <si>
    <t>Разработка проектно-сметной документации на строительство газовых сетей</t>
  </si>
  <si>
    <t>Строительство газовых сетей</t>
  </si>
  <si>
    <t>п.3; п.1</t>
  </si>
  <si>
    <t>Повышение уровня благоустройства дворовых территорий Осинского городского округа</t>
  </si>
  <si>
    <t>1400100010</t>
  </si>
  <si>
    <t>Реализация мероприятий, направленных на комплексное развитие сельских территорий (улучшение жилищных условий граждан, проживающих в сельских территориях)</t>
  </si>
  <si>
    <t>Муниципальная программа "Комплексное развитие сельских территорий Осинского городского округа"</t>
  </si>
  <si>
    <t>1600000000</t>
  </si>
  <si>
    <t>Подпрограмма "Улучшение жилищных условий граждан, проживающих на сельских территориях Осинского городского округа"</t>
  </si>
  <si>
    <t>1610000000</t>
  </si>
  <si>
    <t>16101L5761</t>
  </si>
  <si>
    <t>п.3;                          в целом</t>
  </si>
  <si>
    <t>01.01.2020-бессрочно 31.05.2019-бессрочно</t>
  </si>
  <si>
    <t>Решение Думы ОГО от 28.08.2020 № 214 "Об утверждении Положения о представительских расходах и расходах на проведение мероприятий органов местного самоуправления Осинского городского округа"</t>
  </si>
  <si>
    <t>Постановление администрации ОГО от 22.09.2020 № 810 "Об установлении расходного обязательства по вопросам местного значения в сфере культуры"</t>
  </si>
  <si>
    <t>п. 2.2</t>
  </si>
  <si>
    <t>п.2.4. (пп.2.4.4.)</t>
  </si>
  <si>
    <t>1700100041</t>
  </si>
  <si>
    <t>Предоставление субсидий социально ориентированным некоммерческим организациям</t>
  </si>
  <si>
    <t>Реализация программ развития преобразованных муниципальных образований (устройство, строительство и ремонт спортивных объектов)</t>
  </si>
  <si>
    <t>Решение Думы ОГО от 13.12.2019 № 78 "О создании Дорожного фонда Осинского городского округа и об утверждении Порядка формирования и использования бюджетных ассигнований дорожного фонда Осинского городского округа"; Постановление администрации ОГО от 12.10.2020 № 894 "Об утверждении расходного обязательства по развитию транспортной системы Осинского городского округа"</t>
  </si>
  <si>
    <t>01.01.2021-бессрочно; 31.12.2019-бессрочно</t>
  </si>
  <si>
    <t>п.3; п.1.6</t>
  </si>
  <si>
    <t xml:space="preserve">Постановление администрации ОГО от 22.09.2020 № 810 "Об установлении расходного обязательства по вопросам местного значения в сфере культуры" </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</si>
  <si>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</si>
  <si>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Создание условий для развития спортивных учреждений (МАУ "СШ")</t>
  </si>
  <si>
    <t>01.01.2021-31.12.2023</t>
  </si>
  <si>
    <t xml:space="preserve">Постановление администрации ОМР от 10.12.2019 №1175  "Об установлении расходного обязательства по вопросам местного значения в сфере молодежной политики" </t>
  </si>
  <si>
    <t xml:space="preserve"> 01.01.2021-бессрочно; 01.01.2021-31.12.2023;               01.01.2020-бессрочно;  01.01.2020-31.12.2022;</t>
  </si>
  <si>
    <t>Постановление администрации ОГО от 12.10.2020 № 899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2021 год и плановый период 2022 и 2023 годы"</t>
  </si>
  <si>
    <t xml:space="preserve">   в целом</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</si>
  <si>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t>
  </si>
  <si>
    <t>01.01.2021-бессрочно, 01.01.2020-бессрочно, 01.01.2021-31.12.2023</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</si>
  <si>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</si>
  <si>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</si>
  <si>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 xml:space="preserve"> 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</si>
  <si>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01.10.2020-бессрочно; 01.01.2015- не ограничен</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</si>
  <si>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t>
  </si>
  <si>
    <t>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</si>
  <si>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01.10.2020-бессрочно, 01.01.2015-не ограничен</t>
  </si>
  <si>
    <t>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</si>
  <si>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Постановление администрации ОМР от 07.12.2017 № 613 "Об утверждении Порядка определения нормативных затрат на оказание муниципальных услуг по реализации дополнительных общеразвивающих программ и нормативных затрат на уплату налогов"; 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t>
  </si>
  <si>
    <t>01.01.2018-бессрочно, 01.01.2021-бессрочно,  01.01.2021-31.12.2023</t>
  </si>
  <si>
    <t>Постановление администрации ОМР от 07.12.2017 № 614 "Об утверждении Порядка определения нормативных затрат на оказание муниципальной услуги "Реализация дополнительных профессиональных программ повышения квалификации" и нормативных затрат на уплату налогов",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</si>
  <si>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01.10.2020-бессрочно, 01.01.2018-бессрочно</t>
  </si>
  <si>
    <t xml:space="preserve">Постановление администрации ОГО от 22.09.2020 № 810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</si>
  <si>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01.01.2021-бессрочно, 01.01.2018-бессрочно 01.01.2019-31.12.2021</t>
  </si>
  <si>
    <t xml:space="preserve">п.2.2.;                                    п.1;                            </t>
  </si>
  <si>
    <t>п.2.2.; п.1</t>
  </si>
  <si>
    <t>01.01.2021-бессрочно; 01.01.2020-бессрочно</t>
  </si>
  <si>
    <t xml:space="preserve"> п.2.3.                         в целом                                 в целом                               п.1; п.2.4;                            </t>
  </si>
  <si>
    <t>Постановление администрации ОГО от 12.10.2020 №893 "Об установлении расходного обязательства по развитию и поддержке общественных инициатив на территроии ОГО"</t>
  </si>
  <si>
    <t>п.7; п. 8</t>
  </si>
  <si>
    <t>11.03.2020-бессрочно; 11.03.2020-бессрочно;</t>
  </si>
  <si>
    <t>11.03.2020- бессрочно</t>
  </si>
  <si>
    <t>11.03.2020 бессрочно</t>
  </si>
  <si>
    <t xml:space="preserve">01.01.2020-бессрочно </t>
  </si>
  <si>
    <t>раздел 3;  п.1.1</t>
  </si>
  <si>
    <t>раздел 3;                     п.4.4</t>
  </si>
  <si>
    <t xml:space="preserve">Решение Думы ОГО от 25.10.2019 № 36 "О денежном содержании муниципальных служащих органов местного самоуправления Осинского городского округа" (ред. №129 от 27.03.2020г)    </t>
  </si>
  <si>
    <t>Решение Думы ОГО от 25.10.2019 № 36 "О денежном содержании муниципальных служащих органов местного самоуправления Осинского городского округа"  (ред.№129 от 27.03.2020г)</t>
  </si>
  <si>
    <t>в целом; в целом; п.1</t>
  </si>
  <si>
    <t>3200</t>
  </si>
  <si>
    <t>за счет субвенций, предоставленных из бюджета субъекта Российской Федерации, всего</t>
  </si>
  <si>
    <t>3201</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</si>
  <si>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</si>
  <si>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Администрирование государственных полномочий по организации мероприятий при осуществлении деятельности по обращению с животными без владельцев</t>
  </si>
  <si>
    <t>050102У100</t>
  </si>
  <si>
    <t>23.06.2016-бессрочно</t>
  </si>
  <si>
    <t>в целом;                  в целом</t>
  </si>
  <si>
    <t>3202</t>
  </si>
  <si>
    <t xml:space="preserve">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t>
  </si>
  <si>
    <t>2000000000</t>
  </si>
  <si>
    <t>Обеспечение деятельности органов местного самоуправления в рамках непрограммных направлений</t>
  </si>
  <si>
    <t>200002Ц320</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</si>
  <si>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</si>
  <si>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ст.6</t>
  </si>
  <si>
    <t>01.01.2006-бессрочно</t>
  </si>
  <si>
    <t>за счет субвенций, предоставленных из федерального бюджета, всего</t>
  </si>
  <si>
    <t>3100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</si>
  <si>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</si>
  <si>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3102</t>
  </si>
  <si>
    <t>на государственную регистрацию актов гражданского состояния</t>
  </si>
  <si>
    <t>3103</t>
  </si>
  <si>
    <t xml:space="preserve">по составлению (изменению) списков кандидатов в присяжные заседатели </t>
  </si>
  <si>
    <t>Основное мероприятие "Реализация полномочий в сфере развития муниципальной службы"</t>
  </si>
  <si>
    <t>0320100000</t>
  </si>
  <si>
    <t>0320159300</t>
  </si>
  <si>
    <t>Государственная регистрация актов гражданского состояния</t>
  </si>
  <si>
    <t>31.03.2007-бессрочно</t>
  </si>
  <si>
    <t>статья 6</t>
  </si>
  <si>
    <t>0320151200</t>
  </si>
  <si>
    <t>Осуществление полномочий по составлению (изменению, дополнению) списков кандидатов в присяжные заседатели федеральных судов общей юрисдикции в РФ</t>
  </si>
  <si>
    <t>0105</t>
  </si>
  <si>
    <t>23.05.2005- бессрочно</t>
  </si>
  <si>
    <t>032012С050</t>
  </si>
  <si>
    <t>Образование комиссий по делам несовершеннолетних и защите их прав и организациях их деятельности</t>
  </si>
  <si>
    <t>01.01.2017- бессрочно</t>
  </si>
  <si>
    <t>050102П040</t>
  </si>
  <si>
    <t>Составление протоколов об административных правонарушениях</t>
  </si>
  <si>
    <t>Осуществление полномочий по созданию и организации деятельности административных комиссий</t>
  </si>
  <si>
    <t>050102П060</t>
  </si>
  <si>
    <t>01.01.2011-бессрочно</t>
  </si>
  <si>
    <t>статья 5;                 в целом</t>
  </si>
  <si>
    <t>01.01.2016-бессрочно; 20.06.2016-бессрочно</t>
  </si>
  <si>
    <t>3254</t>
  </si>
  <si>
    <t xml:space="preserve">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t>
  </si>
  <si>
    <t>Организация мероприятий при осуществлении деятельности по обращению с животными без владельцев</t>
  </si>
  <si>
    <t>050102У090</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</si>
  <si>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</si>
  <si>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032012К080</t>
  </si>
  <si>
    <t>статья 4;                   в целом</t>
  </si>
  <si>
    <t>24.07.2007- бессрочно; 27.05.2016- бессрочно;</t>
  </si>
  <si>
    <t xml:space="preserve">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</si>
  <si>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 xml:space="preserve">п.5, 6 </t>
  </si>
  <si>
    <t>п.1.1; п.3, 4</t>
  </si>
  <si>
    <t>в целом; п.3, 4</t>
  </si>
  <si>
    <t>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898 "Об утверждении размеров нормативных затрат на оказание муниципальных услуг (выполнение работ), затрат на уплату налогов муниципальными бюджетными и автономными учреждениями спорта на 2021 год и плановый период 2022 и 2023 годов;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t>
  </si>
  <si>
    <t>01.01.2020-31.12.2022;  01.01.2020- бессрочно; 01.01.2021-31.12.2023; 01.01.2021-бессрочно</t>
  </si>
  <si>
    <t xml:space="preserve"> в целом; п.2.3; п.1</t>
  </si>
  <si>
    <t>01.01.2020-31.12.2022 01.01.2020- бессрочно; 01.01.2021-бессрочно</t>
  </si>
  <si>
    <t>в целом;   п.2</t>
  </si>
  <si>
    <t>01.01.2021-31.12.2023; 01.01.2021-бессрочно</t>
  </si>
  <si>
    <t>Постановление администрации ОМР от 30.01.2013 № 63 "Об утверждении Порядка назначения и осуществления выплаты родителям (законным представителям) учащихся за проезд к месту учебы и обратно";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</si>
  <si>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Оказание информационных услуг по справочно- правовой системе органов местного самоуправления</t>
  </si>
  <si>
    <t>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</si>
  <si>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</si>
  <si>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0410153030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</si>
  <si>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</si>
  <si>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04101L3040</t>
  </si>
  <si>
    <t xml:space="preserve">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 </t>
  </si>
  <si>
    <t>3241</t>
  </si>
  <si>
    <t>Основное мероприятие "Создание в системе образования возможностей, обеспечивающих удовлетворение потребности населения в качественных услугах дошкольного, начального общего, основного общего, среднего общего образования"</t>
  </si>
  <si>
    <t>0410100000</t>
  </si>
  <si>
    <t>041012С140</t>
  </si>
  <si>
    <t>Мероприятия по организации оздоровления и отдыха детей</t>
  </si>
  <si>
    <t>ст.7; в целом</t>
  </si>
  <si>
    <t>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</si>
  <si>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</si>
  <si>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Единая субвенция на выполнение отдельных государственных полномочий органов государственной власти в сфере образования (компенсация родительской платы)</t>
  </si>
  <si>
    <t>1004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</si>
  <si>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</si>
  <si>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</si>
  <si>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</si>
  <si>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041012С170</t>
  </si>
  <si>
    <t>ст.3; в целом</t>
  </si>
  <si>
    <t>Единая субвенция на выполнение отдельных государственных полномочий органов государственной власти в сфере образования (поддержка учащимся из многодетных малоимущих семей)</t>
  </si>
  <si>
    <t>041012Н020</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</si>
  <si>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</si>
  <si>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210002C190</t>
  </si>
  <si>
    <t>2544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</si>
  <si>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</si>
  <si>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Муниципальная программа "Развитие градостроительной деятельности Осинского городского округа"</t>
  </si>
  <si>
    <t>Основное мероприятие "Создание условий для эффективного управления территорией Осинского городского округа"</t>
  </si>
  <si>
    <t>Подготовка генеральных планов, правил землепользования и застройки муниципальных образований Пермского края</t>
  </si>
  <si>
    <t>Постановление администрации ОГО от 12.10.2020 № 894 "Об утверждении расходного обязательства по по развитию транспортной системы Осинского городского округа"</t>
  </si>
  <si>
    <t xml:space="preserve">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10.11.2020 №1008) </t>
  </si>
  <si>
    <t xml:space="preserve">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t>
  </si>
  <si>
    <t xml:space="preserve">Постановление администрации ОГО от 22.09.2020 № 810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</si>
  <si>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 xml:space="preserve">Постановление администрации ОГО от 22.09.2020 № 810 "Об установлении расходного обязательства по вопросам местного значения в сфере культуры"; Постановление администрации ОГО от 12.10.2020 № 899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2021 год и плановый период 2022 и 2023 годы";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</si>
  <si>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</si>
  <si>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</si>
  <si>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Постановление Администрации ОГО от 30.12.2019 №1298 " Об утверждении положения об оплате труда работников муниципального казенного учреждения "Гражданская защита"; 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</si>
  <si>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Решение ЗС ОМР от 27.03.2008 № 375 "О возмещении командировочных расходов за счет средств бюджета ОМР" (в ред. №416 от 25.12.2014)</t>
  </si>
  <si>
    <t>Решение Думы ОГО от 25.10.2019 № 36 "О денежном содержании муниципальных служащих органов местного самоуправления Осинского городского округа" (ред. от 27.03.2020 №129)</t>
  </si>
  <si>
    <t>Решение ЗС ОМР от 27.03.2008 № 375 "О возмещении командировочных расходов за счет средств бюджета ОМР" (в ред. от 25.12.2014 №416)</t>
  </si>
  <si>
    <t xml:space="preserve">Решение Думы ОГО от 25.10.2019 № 36 "О денежном содержании муниципальных служащих органов местного самоуправления Осинского городского округа" (ред.от 27.03.2020 №129) </t>
  </si>
  <si>
    <t xml:space="preserve">Постановление ППК от 22.06.2016 N 384-п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ред. от 22.04.2020 № 244-п) </t>
  </si>
  <si>
    <t xml:space="preserve">Закон Пермского края от 29.12.2005 №2768-620 "О передаче органам местного самоуправления отдельных государственных полномочий по обслуживанию лиценвых счетов органов государственной власти Пермского края, государственных краевых учреждений" (в ред. от 04.04.2017 №75-ПК) </t>
  </si>
  <si>
    <t xml:space="preserve">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комисий по делам несовершеннолетних и защите их прав и организации их деятельности" (в ред. от 10.09.2020 №555-ПК) </t>
  </si>
  <si>
    <t>Закон Пермского края от 30.08.2010 № 668-ПК "О наделении органов местного самоуправления Пермского края государственными полномочиями по составлению протоколов об административных правонарушениях" (в ред. от 10.09.2020 № 553-ПК)</t>
  </si>
  <si>
    <t xml:space="preserve">Закон Пермского края от 01.12.2015 N 576-ПК "О наделении органов местного самоуправления государственными полномочиями Пермского края по созданию и организации деятельности административных комиссий" (в ред. от 05.11.2019 №461-ПК) ; Постановление ППК от 20 июня 2016 № 378-п "Об утверждении порядка предоставления и  расходования средств, переданных из бюджета ПК органам местного самоуправления на осуществление государственных полномочий ПК по созданию и организации деятельности административных комиссий" (в ред. от 11.10.2017 № 831-п) </t>
  </si>
  <si>
    <t xml:space="preserve">Закон Пермского края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(в ред. 14.12.2018 № 307-ПК); Постановление ППК от 27.05.2016 N 326-п "Об утверждении порядка предоставления, расходования и возврата субвенций, передаваемых из бюджета ПК бюджетам муниципальных районов и городских округов ПК на осуществление государственных полномочий по хранению, комплектованию, учету и использованию архивных документов государственной части документов архивного фонда ПК" (в ред.от 29.11.2018 №739-п) </t>
  </si>
  <si>
    <t>Единая субвенция на выполнение отдельных государственных полномочий органов государственной власти в сфере образования</t>
  </si>
  <si>
    <t>Поддержка образования для детей с ограниченными возможностями здоровья</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</si>
  <si>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</si>
  <si>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2100051760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</si>
  <si>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</si>
  <si>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24.03.2007-не установлен</t>
  </si>
  <si>
    <t>Постановление ППК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 (в ред. от 04.07.2016 г №439-п)</t>
  </si>
  <si>
    <t xml:space="preserve"> 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</si>
  <si>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 xml:space="preserve">             п.3</t>
  </si>
  <si>
    <t xml:space="preserve"> 01.01.2020-бессрочно</t>
  </si>
  <si>
    <t xml:space="preserve">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t>
  </si>
  <si>
    <t xml:space="preserve">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t>
  </si>
  <si>
    <t>п.5;                         в целом</t>
  </si>
  <si>
    <t>01.01.2021-бессрочно 08.06.2020-бессрочно</t>
  </si>
  <si>
    <t>п.7                            п.3;                         в целом</t>
  </si>
  <si>
    <t>01.01.2020-бессрочно  01.01.2020-бессрочно 08.06.2020-бессрочно</t>
  </si>
  <si>
    <t>12001SЖ420</t>
  </si>
  <si>
    <t>в целом; п.3</t>
  </si>
  <si>
    <t>Проведение технического аудита состояния очистных сооружений и сетей водоотведения</t>
  </si>
  <si>
    <t>Поддержка муниципальных программ формирования современной городской среды (расходы, не софинансируемые из федерального бюджета), благоустройство общественных территорий</t>
  </si>
  <si>
    <t>14001SЖ092</t>
  </si>
  <si>
    <t>Разработка и подготовка проектно-сметной документации по строительству и реконструкции (модернизации) очистных сооружений</t>
  </si>
  <si>
    <t>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</si>
  <si>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</si>
  <si>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Содержание жилых помещений специализированного жилищного фонда для детей-сирот, оставшихся без попечения родителей, лиц из их числа</t>
  </si>
  <si>
    <t>УРЭиИЗО</t>
  </si>
  <si>
    <t>101012С070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</si>
  <si>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</si>
  <si>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101012С080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</si>
  <si>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</si>
  <si>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200002С090</t>
  </si>
  <si>
    <t>Обеспечение деятельности органов местного самоуправления Осинского городского округа в рамках непрограммных направлений</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</si>
  <si>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</si>
  <si>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200002Т060</t>
  </si>
  <si>
    <t>ст.7;                         в целом</t>
  </si>
  <si>
    <t>Администрирование отдельных государственных полномочий по поддержке сельскохозяйственного производства</t>
  </si>
  <si>
    <t>200002У110</t>
  </si>
  <si>
    <t>28.06.2013 - бессрочно; 28.07.2013 - бессрочно</t>
  </si>
  <si>
    <t>Муниципальная адресная программа "Расселение граждан из многоквартирных домов, признанных аварийными до 1 января 2017г., на территории Осинского городского округа"</t>
  </si>
  <si>
    <t>1500000000</t>
  </si>
  <si>
    <t xml:space="preserve">Обеспечение устойчивого сокращения непригодного для проживания жилого фонда </t>
  </si>
  <si>
    <t>150F367483</t>
  </si>
  <si>
    <t>Реализация мероприятий по обеспечению устойчивого сокращения непригодного для проживания жилого фонда</t>
  </si>
  <si>
    <t>150F367484</t>
  </si>
  <si>
    <t>п.3; п.5.3</t>
  </si>
  <si>
    <t xml:space="preserve">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</si>
  <si>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21000SP040</t>
  </si>
  <si>
    <t>раздел 4</t>
  </si>
  <si>
    <t xml:space="preserve">10.04.2015-бессрочно                    </t>
  </si>
  <si>
    <t>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30.09.2020 №741-п)</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</si>
  <si>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t>
  </si>
  <si>
    <t xml:space="preserve">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 Приказ Министерства тарифного регулирования и энергетики Пермского края от 11.11.2019 № СЭД-46-05-05-16 "об утверждении корректировки инвестиционной программы МУП "Тепловые сети" в сфере теплоснабжения  на 2018-2022 гг." </t>
  </si>
  <si>
    <t>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19.10.2020 №928)</t>
  </si>
  <si>
    <t xml:space="preserve">Постановление администрации ОГо от 22.09.2020 № 813 "Об установлении расходного обязательства по вопросам местного значения в сфере предпринимательства и сельского хозяйства" (ред. от 12.10.2020 №906) </t>
  </si>
  <si>
    <t>Постановление ППК от 20.05.2020 № 348-п "Об утверждении Порядка предоставления и расходования субсидий из бюджета Пермского края бюджетам муниципальных образований Пермского края, направленных на подготовку генеральных планов, правил землепользования и застройки городских округов, муниципальных округов Пермского края"; Постановление администрации ОМР от 05.12.2019 № 1155 "Об установлении расходного обязательства по развитию градостроительной деятельности Осинского городского округа"</t>
  </si>
  <si>
    <t>11201SЖ830</t>
  </si>
  <si>
    <t>11201SЖ840</t>
  </si>
  <si>
    <t xml:space="preserve">ПО ПОПРАВКАМ </t>
  </si>
  <si>
    <t>0110100010</t>
  </si>
  <si>
    <t>0110100020</t>
  </si>
  <si>
    <t xml:space="preserve">Софинансирование проектов инициативного бюджетирования </t>
  </si>
  <si>
    <t>17001SР080</t>
  </si>
  <si>
    <t>0800100011</t>
  </si>
  <si>
    <t>0800100013</t>
  </si>
  <si>
    <t>Обеспечение выполнения функций управления финансов администрации Осинского городского округа</t>
  </si>
  <si>
    <t>2000000012</t>
  </si>
  <si>
    <t>Расходы по ликвидационной комиссии</t>
  </si>
  <si>
    <t>2000000010</t>
  </si>
  <si>
    <t>Обеспечение выполнения функций управления образования и социального развития администрации Осинского городского округа</t>
  </si>
  <si>
    <t>21000SС240</t>
  </si>
  <si>
    <t>Реализация программ развития преобразованных муниципальных образований</t>
  </si>
  <si>
    <t>04301SP180</t>
  </si>
  <si>
    <t>Подпрограмма "Приведение образовательных организаций Осинского городского округа в нормативное состояние"</t>
  </si>
  <si>
    <t>2000000013</t>
  </si>
  <si>
    <t>Обеспечение выполнения функций МКУ "Гражданская защита" (Обеспечение первичных мер пожарной безопасности)</t>
  </si>
  <si>
    <t>Обеспечение выполнения функций управления развития инфраструктуры администрации Осинского городского округа</t>
  </si>
  <si>
    <t xml:space="preserve">УРИ </t>
  </si>
  <si>
    <t>2000000014</t>
  </si>
  <si>
    <t>Разработка проектно-сметной документации на строительство объекта "Водоснабжение с.Комарово"</t>
  </si>
  <si>
    <t>Устройство пожарных гидрантов на водопроводных сетях г.Осы</t>
  </si>
  <si>
    <t>Раределительный газопровод газоснабжения для жилых домов д.Ирьяк Осинского района Пермского края</t>
  </si>
  <si>
    <t>11101SЖ330</t>
  </si>
  <si>
    <t>09001L5760</t>
  </si>
  <si>
    <t>05010SЦ230</t>
  </si>
  <si>
    <t>Поддержка муниципальных программ формирования современной городской среды (расходы, не софинансируемые из федерального бюджета), благоустройство дворовых территорий</t>
  </si>
  <si>
    <t>14001SЖ091</t>
  </si>
  <si>
    <t>Разработка проектов межевания территории и проведение комплексных кадастровых работ</t>
  </si>
  <si>
    <t>1200100010</t>
  </si>
  <si>
    <t>Обеспечение актуальными документами территориального планирования и градостроительного зонирования</t>
  </si>
  <si>
    <t>1200100000</t>
  </si>
  <si>
    <t>Постановление администрации ОМР от 05.12.2019 № 1155 "Об установлении расходного обязательства по развитию градостроительной деятельности Осинского городского округа"</t>
  </si>
  <si>
    <t>п 3</t>
  </si>
  <si>
    <t>реализация программ развития преобразованных муниципальных образований (приобретение водного транспорта для перевозки пассажиров)</t>
  </si>
  <si>
    <t>1010100200</t>
  </si>
  <si>
    <t>Вовлечение в оборот неиспользуемого имущества казны</t>
  </si>
  <si>
    <t>04000000000</t>
  </si>
  <si>
    <t>830</t>
  </si>
  <si>
    <t>Мероприятия, осуществляемые органами местного самоуправления Осинского городского округа в рамках непрограммных направлений расходов</t>
  </si>
  <si>
    <t>2100000004</t>
  </si>
  <si>
    <t>Компенсация многодетным семьям взамен предоставления земельного участка</t>
  </si>
  <si>
    <t>2100000010</t>
  </si>
  <si>
    <t>Решение Думы ОГО от 24.09.2020 №228 "Об установлении расходного обязательства по предоставлению многодетным семьям с их согласия единовременной денежной выплаты взамен предоставления земельного участка в собственность бесплатно"</t>
  </si>
  <si>
    <t>п.5</t>
  </si>
  <si>
    <t>п.1</t>
  </si>
  <si>
    <t>Приведение в нормативное состояние помещений, приобретение и установка модульных конструкций</t>
  </si>
  <si>
    <t>05010SП150</t>
  </si>
  <si>
    <t>2510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</si>
  <si>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</si>
  <si>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п.1.1</t>
  </si>
  <si>
    <t>Основное мероприятие "Рациональное использование муниципального имущества Осинского городского округа"</t>
  </si>
  <si>
    <t>1010100000</t>
  </si>
  <si>
    <t>3130</t>
  </si>
  <si>
    <t>осуществление полномочий по проведению Всероссийской переписи населения 2020 года</t>
  </si>
  <si>
    <t>2100054690</t>
  </si>
  <si>
    <t>Проведение Всероссийской переписи населения 2020 года</t>
  </si>
  <si>
    <t>244</t>
  </si>
  <si>
    <t>041012Н420</t>
  </si>
  <si>
    <t>Оснащение оборудованием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t>
  </si>
  <si>
    <t>3296</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</si>
  <si>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</si>
  <si>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021012С020</t>
  </si>
  <si>
    <t>Обеспечение жильем молодых семей (10%)</t>
  </si>
  <si>
    <t>п.4.5</t>
  </si>
  <si>
    <t>3116</t>
  </si>
  <si>
    <t xml:space="preserve">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 </t>
  </si>
  <si>
    <t>Обеспечение жильем отдельных категорий граждан, установленных федеральным законом от 12 января 1995 года № 5-ФЗ "О ветеранах"</t>
  </si>
  <si>
    <t>2100051340</t>
  </si>
  <si>
    <t>071012Ф180</t>
  </si>
  <si>
    <t>Обеспечение условий для развития физической культуры и массового спорта</t>
  </si>
  <si>
    <t>09001SУ200</t>
  </si>
  <si>
    <t>Реализация мероприятий по предотвращению распространения и уничтожению борщевика Сосновского в муниципальных образованиях Пермского края</t>
  </si>
  <si>
    <t>210002С460</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</si>
  <si>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</si>
  <si>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Восстановление платежеспособности  МУП "Водоканал-Оса"</t>
  </si>
  <si>
    <t>Расходы на исполнение судебных актов</t>
  </si>
  <si>
    <t>041Е151870</t>
  </si>
  <si>
    <t>0800100034</t>
  </si>
  <si>
    <t>Приведение в нормативное состояние зданий культуры МБУ "ОЦКиД"</t>
  </si>
  <si>
    <t>п 1;   п.2.2.</t>
  </si>
  <si>
    <t>01.01.2021-бессрочно; 21.11.2018-бессрочно</t>
  </si>
  <si>
    <t>Изготовление проекта зоны санитарной охраны по водопроводным сетям и сооружениям</t>
  </si>
  <si>
    <t>1010100114</t>
  </si>
  <si>
    <t>1010100115</t>
  </si>
  <si>
    <t>Приобретение имущества в муниципальную собственность</t>
  </si>
  <si>
    <t>Исполнительный лист №2-777/2020 от 04.12.2020; исполнительный лист Дело 13-52/2021 от 02.03.2020</t>
  </si>
  <si>
    <t>04.12.2020-31.12.2021; 02.03.2020-31.12.2021</t>
  </si>
  <si>
    <t>Определение Арбитражного суда ПК по делу № А50-32171/2020 от 29.06.2021г.</t>
  </si>
  <si>
    <t>29.06.2021-30.06.2021</t>
  </si>
  <si>
    <t>Исполнительные дела (Приложение прилагается)</t>
  </si>
  <si>
    <t>31.03.2021-бессрочно</t>
  </si>
  <si>
    <t>0800100035</t>
  </si>
  <si>
    <t>Проведение аттестации рабочих мест в сельских СДК</t>
  </si>
  <si>
    <t>21000SP180</t>
  </si>
  <si>
    <t>21.11.2018-бессрочно</t>
  </si>
  <si>
    <t>200002Р110</t>
  </si>
  <si>
    <t>Конкурс городских и муниципальных округов Пермского края по достижению наиболее результативных значений показателей управленческой деятельности</t>
  </si>
  <si>
    <t>210002Р270</t>
  </si>
  <si>
    <t>Краевой конкурс "Лучший староста сельского населенного пункта в Пермском крае"</t>
  </si>
  <si>
    <t>07.07.2021-бессрочно</t>
  </si>
  <si>
    <t>09001L5765</t>
  </si>
  <si>
    <t>01.01.2021-бессрочно; 10.01.2017-бессрочно</t>
  </si>
  <si>
    <t>01.01.2021-бессрочно; 23.03.2021-бессрочно</t>
  </si>
  <si>
    <t xml:space="preserve">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19.10.2020 №928);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t>
  </si>
  <si>
    <t xml:space="preserve">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 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30.12.2020 №1066-п);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t>
  </si>
  <si>
    <t xml:space="preserve">01.01.2021-бессрочно; 10.04.2015-бессрочно; 21.11.2018-бессрочно </t>
  </si>
  <si>
    <t>п.3; п.1.1, п.1.2</t>
  </si>
  <si>
    <t>01.01.2021-бессрочно; 11.11.2019-31.12.2022</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</si>
  <si>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 Постановление ППК от 10.03.2021 № 135-п "Об утверждении Порядка предоставления и расходования субсидии из бюджета Пермского края бюджетам муниципальных образований Пермского края на проведение технического аудита состояния очистных сооружений и сетей водоотведения и Порядка предоставления и расходования субсидии из бюджета Пермского края бюджетам муниципальных образований Пермского края на разработку и подготовку проектно-сметной документации по строительству и реконструкции (модернизации) очистных сооружений"(в ред. от 09.06.2021 №394-п)</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</si>
  <si>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 Постановление ППК от 29.04.2019 № 318-п "Об утверждении Порядка предоставления субсидий из бюджета Пермского края бюджетам муниципальных образований Пермского края на софинансирование мероприятий по качественному функционированию систем теплоснабжения на территориях муниципальных образований Пермского края" (в ред. от 07.07.2021 №459-п)</t>
  </si>
  <si>
    <t xml:space="preserve">01.01.2021-бессрочно; 29.04.2019-бессрочно
</t>
  </si>
  <si>
    <t>13.12.2019-бессрочно; 01.01.2021-бессрочно</t>
  </si>
  <si>
    <t>01.01.2020-бессрочно; 18.04.2014-бессрочно</t>
  </si>
  <si>
    <t xml:space="preserve"> Постановление администрации ОМР от 10.12.2019 №1175  "Об установлении расходного обязательства по вопросам местного значения в сфере молодежной политики"; Постановление ППК от 01.04.2014 № 215-п "О реализации мероприятий подпрограммы 1 "Социальная поддержка семей с детьми. Профилактика социального сиротства и защита прав детей-сирот" государственной программы "Социальная поддержка жителей Пермского края", утвержденной Постановлением Правительства Пермского края от 3 октября 2013 г. N 1321-п" (в ред. от 26.08.2020 №616-п)</t>
  </si>
  <si>
    <t>п.2.4;                   п.1.4</t>
  </si>
  <si>
    <t xml:space="preserve">Постановление администрации ОМР от 02.12.2019 № 1153 "Об утверждении расходного обязательства по созданию безопасных и благоприятных условий проживания граждан"; Постановление ППК от 29.03.2019 № 227-п "Об утверждении региональной адресной программы по переселению граждан из аварийного жилищного фонда на территории Пермского края на 2019-2024 годы"(ред. от 04.08.2021 №536-п) </t>
  </si>
  <si>
    <t>01.01.2020-бессрочно; 29.03.2019-31.12.2024</t>
  </si>
  <si>
    <t>Постановление администрации ОГО от 12.10.2020 № 897 "Об установлении расходного обязательства по реализации мероприятий, направленных на комплексное развитие сельских территорий"; 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27.07.2021 №508-п)</t>
  </si>
  <si>
    <t xml:space="preserve">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t>
  </si>
  <si>
    <t xml:space="preserve">21.11.2018-бессрочно;   </t>
  </si>
  <si>
    <t>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Правительства ПК от 31.05.2019 № 374-п "Об утверждении Порядка предоставления и расходования субсидий из бюджета Пермского края бюджетам муниципальных районов, муниципальных и городских округов Пермского края на приведение в нормативное состояние муниципальных помещений, приобретение и установку модульных конструкций, используемых в целях профилактики правонарушений и обеспечения общественной безопасности"(ред. от 23.03.2021 №164-п)</t>
  </si>
  <si>
    <t xml:space="preserve"> Постановление администрации ОГО от 30.12.2019 №1298 "Об утверждении положения об оплате труда работников муниципального казенного учреждения "Гражданская защита" </t>
  </si>
  <si>
    <t xml:space="preserve">п. 7                             </t>
  </si>
  <si>
    <t>Постановление администрации ОМР от 19.11.2019 № 1064 (ред. от 10.11.2020 №1008)"Об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</si>
  <si>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Постановление ППК от 17.03.2020 №107-п "О распределении иных межбюджетных трансфертов между муниципальными образованиями Пермского края на оснащении оборудованием муниципальных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 в 2020-2022 годах"(ред. от 16.10.2020 г №776-п)</t>
  </si>
  <si>
    <t>17.03.2020-31.12.2022</t>
  </si>
  <si>
    <t>01.01.2021-бессрочно, 01.01.2015- бессрочно</t>
  </si>
  <si>
    <t>01.10.2020-бессрочно, 01.01.2015- бессрочно</t>
  </si>
  <si>
    <t>01.01.2021-бессрочно; 01.09.2020-бессрочно</t>
  </si>
  <si>
    <t>в целом; п.1</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</si>
  <si>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ППК от 02.07.2020 № 482-п "Об утверждении Порядка предоставления и расходования иных межбюджетных трансфертов из бюджета Пермского края с участием средств федерального бюджета бюджетам муниципальных и городских округов, муниципальных районов Пермского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(ред. от 03.03.2021 №122-п)</t>
  </si>
  <si>
    <t xml:space="preserve">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ППК от 18.12.2015 N 1109-п "О предоставлении субсидий бюджетам муниципальных районов, муниципальных и городских округов Пермского края из бюджета Пермского края на организацию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"специальные учебно-воспитательные учреждения" и муниципальных санаторных общеобразовательных учреждениях" (ред. от 11.08.2021 №585-п) </t>
  </si>
  <si>
    <t>01.01.2021-бессрочно; 18.12.2015-бессрочно</t>
  </si>
  <si>
    <t>01.01.2021-бессрочно, 01.01.2015-бессрочно</t>
  </si>
  <si>
    <t>01.10.2020-бессрочно, 01.01.2015-бессрочно</t>
  </si>
  <si>
    <t>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</si>
  <si>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 xml:space="preserve">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ППК от 15.04.2015 №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30.12.2020 №1066-п) </t>
  </si>
  <si>
    <t xml:space="preserve">01.10.2020-бессрочно </t>
  </si>
  <si>
    <t>раздел 3</t>
  </si>
  <si>
    <t xml:space="preserve">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t>
  </si>
  <si>
    <t>в целом; п.1.1</t>
  </si>
  <si>
    <t>п.2; п.4.4;              в целом</t>
  </si>
  <si>
    <t>01.01.2013-бессрочно; 01.01.2015-бессрочно; 01.01.2021-бессрочно</t>
  </si>
  <si>
    <t>01.10.2020 - бессрочно;  10.04.2015-бессрочно</t>
  </si>
  <si>
    <t>01.01.2021-бессрочно,  01.01.2015-бессрочно</t>
  </si>
  <si>
    <t>в целом;    п.4.4;     в целом</t>
  </si>
  <si>
    <t>Постановление администрации ОГО от 12.10.2020 № 898 "Об утверждении размеров нормативных затрат на оказание муниципальных услуг (выполнение работ), затрат на уплату налогов муниципальными бюджетными и автономными учреждениями спорта на 2021 год и плановый период 2022 и 2023 годов;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t>
  </si>
  <si>
    <t>01.01.2015-бессрочно</t>
  </si>
  <si>
    <t>пп.1.2;  в целом,               в целом</t>
  </si>
  <si>
    <t>01.01.2018-бессрочно; 01.01.2021-31.12.2023; 01.01.2021-бессрочно</t>
  </si>
  <si>
    <t>01.01.2021-бессрочно; 01.01.2018-бессрочно</t>
  </si>
  <si>
    <t>п.2.1;  в целом;                               п.1</t>
  </si>
  <si>
    <t>Постановление администрации ОГО от 12.10.2020 № 899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2021 год и плановый период 2022 и 2023 годы"</t>
  </si>
  <si>
    <t>01.01.2021-бессрочно; 01.01.2020-бессрочно; 01.01.2021-31.12.2023</t>
  </si>
  <si>
    <t xml:space="preserve"> 01.01.2021-31.12.2023</t>
  </si>
  <si>
    <t xml:space="preserve">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Постановление администрации ОГО от 22.09.2020 № 810 "Об установлении расходного обязательства по вопросам местного значения в сфере культуры" </t>
  </si>
  <si>
    <t>21.11.2018- бессрочно; 01.01.2021-бессрочно</t>
  </si>
  <si>
    <t>п 1.1;   п.2.3</t>
  </si>
  <si>
    <t>в целом;  в целом;         в целом; п.2</t>
  </si>
  <si>
    <t>Постановление ППК от 11.12.2020 №946-п "Об утверждении распределения иных межбюджетных трансфертов из бюджета Пермского края бюджетам городских округов и муниципальных районов (округов) Пермского края на обеспечение условий для развития физической культуры и спорта на 2021 год"</t>
  </si>
  <si>
    <t>11.12.2020-31.12.2021</t>
  </si>
  <si>
    <t xml:space="preserve">Постановление ППК от 21.12.2018 №849-п "О распределении субсидий из бюджета Пермского края бюджетам муниципальных образований Пермского края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в 2019-2021 годах";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</si>
  <si>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31.12.2018-31.12.2021; 01.01.2021-бессрочно</t>
  </si>
  <si>
    <t xml:space="preserve">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</si>
  <si>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 xml:space="preserve">01.01.2021-бессрочно </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</si>
  <si>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 </t>
  </si>
  <si>
    <t xml:space="preserve">Постановление ППК от 13.05.2020 №312-п "Об утверждении распределения субсидий из бюджета Пермского края бюджетам муниципальных образований Пермского края на реализацию мероприятий по предотвращению распространения и уничтожению борщевика Сосновского в муниципальных образованиях Пермского края на 2020-2022 годы" (ред. от 24.02.2021 №103-п); 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t>
  </si>
  <si>
    <t>п.1; п.3</t>
  </si>
  <si>
    <t>13.05.2020-бессрочно; 01.01.2021-бессрочно</t>
  </si>
  <si>
    <t>01.01.2021-бессрочно; 01.01.2014-бессрочно</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</si>
  <si>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03.10.2013 N 1331-п "Об утверждении государственной программы Пермского края "Градостроительная и жилищная политика, создание условий для комфортной городской среды" (ред. от 20.08.2021 №604-п)</t>
  </si>
  <si>
    <t>Постановление администрации ОГО от 12.10.2020 №893 "Об установлении расходного обязательства по развитию и поддержке общественных инициатив на территории Осинского городского округа"; Постановление ППК от 10.01.2017 № 6-п "Об утверждении Порядка предоставления субсидий из бюджета Пермского края бюджетам муниципальных образований Пермского края на софинансирование проектов инициативного бюджетирования в Пермском крае и Порядка проведения конкурсного отбора проектов инициативного бюджетирования краевой конкурсной комиссией инициативного бюджетирования" (ред. от 11.08.2021 №571-п)</t>
  </si>
  <si>
    <t>в целом;  п.1.1</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</si>
  <si>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27.07.2021 №508-п)</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</si>
  <si>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03.10.2013 N 1331-п "Об утверждении государственной программы Пермского края "Градостроительная и жилищная политика, создание условий для комфортной городской среды" (ред. от 20.08.2021 №604-п) </t>
  </si>
  <si>
    <t>22.05.2020-бессрочно; 01.01.2020-бессрочно</t>
  </si>
  <si>
    <t>01.01.2020-бессрочно; 06.03.2014-бессрочно</t>
  </si>
  <si>
    <t>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10.11.2020 №1008); Постановление ППК от 06.03.2014 № 141-п "Об утверждении Порядка предоставления субсидий бюджетам муниципальных образований Пермского края на реализацию мероприятий по строительству (реконструкции), капитальному ремонту гидротехнических сооружений муниципальной собственности, бесхозяйных гидротехнических сооружений" (ред. от 20.08.2020 №614-п)</t>
  </si>
  <si>
    <t xml:space="preserve">п.2.5, п.2.6 </t>
  </si>
  <si>
    <t>01.01.2020- бессрочно;  04.11.2017-бессрочно</t>
  </si>
  <si>
    <t>Постановление ППК от 21.11.2018 N 718-п "Об утверждении Порядка предоставления субсидий бюджетам преобразованных муниципальных образований из бюджета ПК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ПК на реализацию муниципальных программ (мероприятий в рамках муниципальных программ) по развитию преобразованных муниципальных образований (ред. от 30.03.2021 №177-п)</t>
  </si>
  <si>
    <t>Постановление ППК от 07.07.2021 № 456-п "Об итогах конкурса городских и муниципальных округов Пермского края по достижению наиболее результативных значений показателей управленческой деятельности за I квартал 2021 года"</t>
  </si>
  <si>
    <t>Постановление ППК от 05.11.2020 № 841-п "О краевом конкурсе "Лучший староста сельского населенного пункта в Пермском крае"</t>
  </si>
  <si>
    <t xml:space="preserve">Постановление администрации ОГО от 15.06.2020 № 319 "Об утверждении Порядка обеспечения работников муниципальных учреждений Осинского городского округа путевками на санаторно-курортное лечение и оздоровление, Положения о комиссии по распределению путевок на санаторно-курортное лечение и оздоровление работников муниципальных учреждений Осинского городского округа" (ред.15.09.2020 №761); Закон Пермского края от 04.09.2017 № 121-ПК "Об обеспечении работников государственных и муниципальных учреждений Пермского края путевками на санаторно-курортное лечение и оздоровление" (ред.от 10.09.2020 № 559-ПК) </t>
  </si>
  <si>
    <t>в целом; статья 3</t>
  </si>
  <si>
    <t>30.06.2020-бессрочно; 08.06.2020-бессрочно</t>
  </si>
  <si>
    <t>15.06.2020-бессрочно; 01.01.2018-бессрочно</t>
  </si>
  <si>
    <t>Постановление администрации ОГО от 30.06.2020 № 382 "Об утверждении Положения о системе оплаты труда работников муниципального казенного учреждения"Транспортник". Постановление администрации ОГО от 08.06.2020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t>
  </si>
  <si>
    <t xml:space="preserve"> Постановление администрации ОГО от 30.09.2020 № 848 "Об утверждении Положения о системе оплаты труда работников муниципального казенного учреждения "Осинский центр бухгалтерского учета". Постановление администрации ОГО от 08.06.2020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t>
  </si>
  <si>
    <t>Постановление Администрации ОГО от 30.12.2019 №1298 " Об утверждении положения об оплате труда работников муниципального казенного учреждения "Гражданская защита"; Постановление администрации ОМР от 19.11.2019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10.11.2020 №1008); Постановление администрации ОГО от 08.06.2020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t>
  </si>
  <si>
    <t xml:space="preserve">Решение Думы ОГО от 28.08.2020 №205 "Об утверждении Положения о пенсии за выслугу лет лицам, замещавшим муниципальные должности в органах местного самоуправления Осинского муниципального района, поселениях Осинского муниципального района, в Осинском городском округе на постоянной основе"; Решение Думы ОГО от 28.08.2020 №206 "Об утверждении Положения о пенсии за выслугу лет лицам, замещавшим должности муниципальной службы в органах местного самоуправления Осинского муниципального района, поселениях Осинского муниципального района, в Осинском городском округе"                              </t>
  </si>
  <si>
    <t>Постановление администрации ОГО от 22.09.2020 № 810 "Об установлении расходного обязательства по вопросам местного значения в сфере культуры"; Постановление ППК от 10.11.2020 N 864-п "Об утверждении Порядка предоставления и расходования в 2021 году субсидии из бюджета Пермского края бюджету Осинского городского округа на обустройство набережной в городе Осе" (ред. от 11.08.2021 №574-п)</t>
  </si>
  <si>
    <t>01.01.2021-бессрочно; 10.11.2020-31.12.2021</t>
  </si>
  <si>
    <t xml:space="preserve">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  (в ред. от 13.12.2019 №482-ПК) </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</si>
  <si>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 (в ред. от  28.08.2019 №1105 )</t>
  </si>
  <si>
    <t>24.03.2007-бессрочно</t>
  </si>
  <si>
    <t>Постановление ППК от 02.03.2007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 (ред. от 04.07.2016 №439-п)</t>
  </si>
  <si>
    <t>Постановление ППК от 02.07.2020 N476-п "Об утверждении Порядка предоставления субвенций из бюджета Пермского края бюджетам Муниципальных районов, городских и муниципальных округов Пермского края для осуществления органами местного самоуправления отдельных государственных полномочий по подготовке и проведению Всероссийской перепеси населения 2020 года" (ред. от 31.03.2021 №197-п)</t>
  </si>
  <si>
    <t>Закон Пермского края от 17.10.2006 № 20-КЗ "О передаче органам местного самоуправления Пермского края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30.06.2021 №665-ПК); Постановление ППК от 28.08.2014 N 872-п "Об утверждении порядка предоставления и расходования средств бюджета ПК, передаваемых органам местного самоуправления поселений, городских округов, муниципальных районов ПК для осуществления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30.01.2020 №34-п)</t>
  </si>
  <si>
    <t>03.11.2006- бессрочно; 12.09.2014-бессрочно</t>
  </si>
  <si>
    <t>Закон Пермского края от 07.06.2013 N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(ред. от 02.03.2021 №621-ПК); Постановление ППК от 15.07.2013 N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 (ред. от 30.01.2020 №36-п)</t>
  </si>
  <si>
    <t>22.07.2017-бессрочно</t>
  </si>
  <si>
    <t xml:space="preserve">Постановление ППК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23.03.2021 №159-п); </t>
  </si>
  <si>
    <t>п.1.1; в целом</t>
  </si>
  <si>
    <t>22.07.2017-бессрочно; 01.01.2018 - бессрочно</t>
  </si>
  <si>
    <t>п.1.2</t>
  </si>
  <si>
    <t>Постановление ППК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23.03.2021 №159-п); Постановление администрации ОМР от 26.12.2017 № 653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</si>
  <si>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18.06.2010 - бессрочно; 26.06.2010 - бессрочно</t>
  </si>
  <si>
    <t>Закон Пермского края от 01.06.2010 № 628-ПК "О социальной поддержке педагогических работников образовательных учреждений, работающих и проживающих в сельской местности и поселках городского типа (рабочих поселках), по оплате жилого помещения и коммунальных услуг" (ред. от 24.09.2018 №283-ПК); Постановление ППК от 08.06.2010 №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(ред. от 28.11.2019 №863-п)</t>
  </si>
  <si>
    <t>07.10.2008-бессрочно, 01.01.2016-бессрочно</t>
  </si>
  <si>
    <t xml:space="preserve"> ст.6; п.2</t>
  </si>
  <si>
    <t>Закон Пермского края от 10.09.2008 N 290-ПК "О наделении органов местного самоуправления Пермского края отдельными государственными полномочиями по предоставлению мер социальной поддержки обучающимся из малоимущих многодетных и малоимущих семей" (ред. от 05.03.2021 №614-ПК); Постановление администрации ОМР от 29.06.2016 № 237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t>
  </si>
  <si>
    <t>07.12.2012-бессрочно</t>
  </si>
  <si>
    <t>Постановление ППК от 21.11.2012 №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проживающим совместно членам их семей и Порядка предоставления и расходования субвенций из регионального фонда компенсаций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 (ред. от 24.07.2014 №670-п)</t>
  </si>
  <si>
    <t>Постановление ППК от 03.02.2021 N 59-п "Об утверждении распределения иных межбюджетных трансфертов, предоставляемых бюджетам муниципальных образований Пермского края на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на территории Пермского края отдельных категорий граждан с использованием электронных социальных проездных документов за счет средств бюджета Пермского края, на 2021 год и на плановый период 2022-2023 годов"</t>
  </si>
  <si>
    <t>03.02.2021-бессрочно</t>
  </si>
  <si>
    <t>статья 6; п.1.2</t>
  </si>
  <si>
    <t xml:space="preserve"> 26.01.2008-бессрочно; 01.09.2018-бессрочно</t>
  </si>
  <si>
    <t>Закон ПК от 28.12.2007 № 172-ПК "О наделении органов местного самоуправления ПК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05.03.2021 №614-ПК); Постановление ППК от 01.08.2018 N 444-п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21.11.2019 №838-п)</t>
  </si>
  <si>
    <t xml:space="preserve">Закон Пермского края от 02.04.2010 № 607 "О передаче органам местного самоуправления отдельных государственных полномочий по организации оздоровления и отдыха детей" (ред. от 06.03.2020 №507-ПК); Постановление ППК от 31.03.2016 N 169-п "Об утверждении порядков по реализации государственных полномочий в сфере обеспечения отдыха детей и их оздоровления в Пермском крае" (ред. от 25.11.2020 №902-п)
</t>
  </si>
  <si>
    <t>20.04.2010-бессрочно; 12.04.2016-бессрочно</t>
  </si>
  <si>
    <t xml:space="preserve">Постановление ППК от 22.06.2016 N 384-п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(ред. от 22.04.2020 №244-п) </t>
  </si>
  <si>
    <t>22.06.2016-бессрочно</t>
  </si>
  <si>
    <t>18.04.2014-бессрочно</t>
  </si>
  <si>
    <t>Постановление ППК от 01.04.2014 №215-п "О реализации мероприятий подпрограммы 1 "Социальная поддержка семей с детьми. Профилактика социального сиротства и защита прав детей-сирот" государственной программы "Социальная поддержка жителей Пермского края", утвержденной Постановлением Правительства Пермского края от 3 октября 2013 г. N 1321-п" (в ред. от 26.08.2020 №616-п)</t>
  </si>
  <si>
    <t xml:space="preserve"> 12.06.2018-бессрочно; 31.07.2020-бессрочно; 01.01.2016-бессрочно; 01.01.2016-бессрочно</t>
  </si>
  <si>
    <t>п.1; в целом; п.2; п.2</t>
  </si>
  <si>
    <t xml:space="preserve">Постановление ППК от 30.05.2020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ред. от 29.04.2021 №251п); Постановление ППК от 29.07.2020 N 563-п "О предоставлении и распределении иных межбюджетных трансфертов бюджетам муниципальных образований Пермского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 (ред. от 07.04.2021 №208-п); Постановление администрации ОМР от 27.02.2020 № 196 "Об утверждении Порядка предоставления и расходования субвенций из бюджета Пермского края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Осинского городского округа"; Постановление администрации ОМР от 27.02.2020 № 195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
      </t>
  </si>
  <si>
    <t>Проведение экономического обоснования размера платы за содержание жилого помещения</t>
  </si>
  <si>
    <t>2100000011</t>
  </si>
  <si>
    <t>Постановление администрации ОГО от 19.08.2021  № 957 "Об установлении расходного обязательства Осинского городского округа, связанного с финансированием расходов по проведению экономического обоснования размера платы за содержание жилого помещения"</t>
  </si>
  <si>
    <t>19.08.2021-бессрочно</t>
  </si>
  <si>
    <t>реализация программ развития преобразованных муниципальных образований  (приобретение имущества в муниципальную собственность- экскаватор-погрузчик)</t>
  </si>
  <si>
    <t>Обеспечение работников бюджетных учреждений Осинского городского округа путевками на санаторно-курортное лечение</t>
  </si>
  <si>
    <t>Оказание содействия органам местного самоуправления муниципальных образований Пермского края в решении вопросов местного значения, осуществляемых с участием средств самообложения граждан</t>
  </si>
  <si>
    <t>17001SР060</t>
  </si>
  <si>
    <t xml:space="preserve">Постановление администрации ОГО от 12.10.2020 №893 "Об установлении расходного обязательства по развитию и поддержке общественных инициатив на территории Осинского городского округа"; Постановление ППК от 13.04.2011 N 188-п "Об утверждении Порядка предоставления из бюджета Пермского края субсидий бюджетам муниципальных образований Пермского края на решение вопросов местного значения, осуществляемых с участием средств самообложения граждан, и Методики распределения из бюджета Пермского края субсидий бюджетам муниципальных образований Пермского края на решение вопросов местного значения, осуществляемых с участием средств самообложения граждан" </t>
  </si>
  <si>
    <t>в целом; раздел 5</t>
  </si>
  <si>
    <t>01.01.2021-бессрочно; 28.11.2019-бессрочно</t>
  </si>
  <si>
    <t>Постановление ППК от 30.05.2020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ред. от 29.04.2021 №251п); Постановление ППК от 29.07.2020 N 563-п "О предоставлении и распределении иных межбюджетных трансфертов бюджетам муниципальных образований Пермского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 (ред. от 07.04.2021 №208-п)Постановление администрации ОМР от 27.02.2020 № 196 "Об утверждении Порядка предоставления и расходования субвенций из бюджета Пермского края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Осинского городского округа"; Постановление администрации ОМР от 27.02.2020 № 195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 Постановление администрации ОМР от 26.02.2020 № 188 "Об утверждении Порядка предоставления субсидий из бюджета Осинского городского округа частным дошкольным 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t>
  </si>
  <si>
    <t>п.1; в целом; п.2; п.2; в целом</t>
  </si>
  <si>
    <r>
      <t xml:space="preserve"> 12.06.2018-бессрочно; 31.07.2020-бессрочно; 01.01.2016-бессрочно; 01.01.2016-бессрочно</t>
    </r>
    <r>
      <rPr>
        <u val="single"/>
        <sz val="11"/>
        <rFont val="Times New Roman"/>
        <family val="1"/>
      </rPr>
      <t>; 26.02.2020-бессрочно</t>
    </r>
  </si>
  <si>
    <t>Исполнители: Бочкарева Е.П., Лукоянова Т.А., Шеина Е.И.</t>
  </si>
  <si>
    <t xml:space="preserve"> Постановление администрации ОМР от 10.12.2019 № 1170 "Об установлении  расходного обязательства по осуществлению мер, направленных на улучшение гражданского единства и гармонизации межнациональных отношений на территории  Осинского городского округа" (ред. от 17.11.2021 №1385)</t>
  </si>
  <si>
    <t xml:space="preserve">Постановление администрации ОГО от 23.06.2020 №353 "Об утверждении Порядка предоставления и расходования субсидий из бюджета Осинского городского округа на выплату материального стимулирования народным дружиникам за участие в мероприятиях по охране общественного порядка"; Постановление ППК от 18.10.2017 № 870-п "Об утверждении порядка предоставления и расходования субсидий из бюджета ПК бюджетам городских (сельских) поселений и городских округов ПК на выплату материального стимулирования народным дружиникам за участие в мероприятиях по охране общественного порядка" (ред. от 18.10.2017 №870-п) </t>
  </si>
  <si>
    <t>Постановление главы ОМР № 50 от 06.04.2020 "Об утверждении Положения о порядке использования бюджетных ассигнований резервного фонда администрации Осинского городского округа"(ред.от 28.05.2021г №574)</t>
  </si>
  <si>
    <t xml:space="preserve">Постановление администрации ОМР от 06.08.2015 № 390 "О системе подготовки населения в области гражданской обороны,защиты населенияи территорий от чрезвычайных ситуаций природного и техногенного характера на территории ОМР"; 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ОМР от 09.11.2017 № 556 "Об утверждении нормативных затрат на мероприятия, предусмотренные муниципальными программами ОМР" </t>
  </si>
  <si>
    <t>06.08.2015-бессрочно                       01.01.2020-бессрочно 01.01.2018-бессрочно</t>
  </si>
  <si>
    <t>Ликвидация аварийного жилищного фонда (оценка выкупной стоимости жилых помещений, признанных аварийными, снятие с кадастрового учета, снос аварийных МКД)</t>
  </si>
  <si>
    <t>Постановление администрации ОМР от 02.12.2019 № 1153 "Об утверждении расходного обязательства по созданию безопасных и благоприятных условий проживания граждан</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</si>
  <si>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водопроводных сетей)</t>
  </si>
  <si>
    <t>11201SP040</t>
  </si>
  <si>
    <t>Постановление ППК от 15.04.2015 № 206-п "Опредоставлении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30.12.2020 №1066-п);  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t>
  </si>
  <si>
    <t>п.1.1; раздел 3</t>
  </si>
  <si>
    <t>10.04.2015-бессрочно;   01.10.2020-бессрочно</t>
  </si>
  <si>
    <r>
      <rPr>
        <sz val="10"/>
        <rFont val="Times New Roman"/>
        <family val="1"/>
      </rPr>
      <t xml:space="preserve">Постановление администрации ОГО от 14.05.2020 № 179 "Об организации отдыха и оздоровления детей, включая мероприятия по обеспечению безопасности их жизни и здоровья, в Осинском городском округе"; </t>
    </r>
    <r>
      <rPr>
        <sz val="10"/>
        <color indexed="36"/>
        <rFont val="Times New Roman"/>
        <family val="1"/>
      </rPr>
      <t xml:space="preserve"> </t>
    </r>
    <r>
      <rPr>
        <sz val="10"/>
        <rFont val="Times New Roman"/>
        <family val="1"/>
      </rPr>
      <t>Постановление администрации ОМР от 21.04.2016 № 151 "Об установлении размера родительской платы и льгот по оплате за пребывание детей в лагерях отдыха различного типа Осинского муниципального района";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r>
  </si>
  <si>
    <t>14.05.2020 - бессрочно; 21.04.2016-бессрочно, 01.01.2021-бессрочно</t>
  </si>
  <si>
    <t>2606</t>
  </si>
  <si>
    <t>Решение Думы ОГО от 23.12.2021 № 361</t>
  </si>
  <si>
    <t>041012Н440</t>
  </si>
  <si>
    <t>Единовременная премия обучающимся, награжденным знаком отличия Пермского края "Гордость Пермского края"</t>
  </si>
  <si>
    <t>Постановление Правительства Пермского края от 25.11.2021 №911-п О распределении иных межбюджетных трансфертов бюджетам муниципальных образований Пермского края из бюджета Пермского края на 2021 год на выплату единовременных премий обучающимся в частных и муниципальных образовательных организациях Пермского края в 2021 году</t>
  </si>
  <si>
    <t>25.11.2021-31.12.2021</t>
  </si>
  <si>
    <t>Поощрение за достижение показателей деятельности управленческих команд</t>
  </si>
  <si>
    <t>200005549F</t>
  </si>
  <si>
    <t>08.12.2021-бессрочно</t>
  </si>
  <si>
    <t>Постановление ППК от 08.12.2021 №980-п "Об утверждении распределения из бюджета Пермского края бюджетам муниципальных образований Пермского края дотаций на поощрение муниципальных управленческих команд"</t>
  </si>
  <si>
    <t xml:space="preserve">п.2                         </t>
  </si>
  <si>
    <t>принятие устава муниципального образования и внесение в него изменений и дополнений, издание муниципальных правовых актов</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</si>
</sst>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quot;р.&quot;"/>
    <numFmt numFmtId="181" formatCode="#,##0.0&quot;р.&quot;"/>
    <numFmt numFmtId="182" formatCode="0.00000"/>
    <numFmt numFmtId="183" formatCode="0.000"/>
    <numFmt numFmtId="184" formatCode="0.0000"/>
    <numFmt numFmtId="185" formatCode="#,##0.000"/>
    <numFmt numFmtId="186" formatCode="mmm/yyyy"/>
    <numFmt numFmtId="187" formatCode="#,##0.00000"/>
    <numFmt numFmtId="188" formatCode="#,##0.0000"/>
    <numFmt numFmtId="189" formatCode="#,##0.0_ ;\-#,##0.0\ "/>
    <numFmt numFmtId="190" formatCode="000000"/>
    <numFmt numFmtId="191" formatCode="#,##0.000000"/>
    <numFmt numFmtId="192" formatCode="#,##0.0000000"/>
    <numFmt numFmtId="193" formatCode="#,##0.00000000"/>
    <numFmt numFmtId="194" formatCode="#,##0.000000000"/>
    <numFmt numFmtId="195" formatCode="#,##0.0000000000"/>
    <numFmt numFmtId="196" formatCode="#,##0.000_р_."/>
  </numFmts>
  <fonts count="49">
    <font>
      <sz val="10"/>
      <name val="Arial Cyr"/>
      <family val="0"/>
    </font>
    <font>
      <sz val="11"/>
      <color indexed="8"/>
      <name val="Calibri"/>
      <family val="2"/>
    </font>
    <font>
      <sz val="8"/>
      <name val="Arial Cyr"/>
      <family val="0"/>
    </font>
    <font>
      <sz val="8"/>
      <name val="Arial"/>
      <family val="2"/>
    </font>
    <font>
      <b/>
      <sz val="14"/>
      <name val="Times New Roman"/>
      <family val="1"/>
    </font>
    <font>
      <sz val="11"/>
      <name val="Times New Roman"/>
      <family val="1"/>
    </font>
    <font>
      <b/>
      <sz val="11"/>
      <name val="Times New Roman"/>
      <family val="1"/>
    </font>
    <font>
      <sz val="10"/>
      <name val="Times New Roman"/>
      <family val="1"/>
    </font>
    <font>
      <b/>
      <sz val="10"/>
      <name val="Times New Roman"/>
      <family val="1"/>
    </font>
    <font>
      <b/>
      <sz val="12"/>
      <name val="Times New Roman"/>
      <family val="1"/>
    </font>
    <font>
      <u val="single"/>
      <sz val="7.5"/>
      <color indexed="12"/>
      <name val="Arial Cyr"/>
      <family val="0"/>
    </font>
    <font>
      <u val="single"/>
      <sz val="7.5"/>
      <color indexed="36"/>
      <name val="Arial Cyr"/>
      <family val="0"/>
    </font>
    <font>
      <sz val="12"/>
      <name val="Times New Roman"/>
      <family val="1"/>
    </font>
    <font>
      <sz val="11"/>
      <name val="Arial Cyr"/>
      <family val="0"/>
    </font>
    <font>
      <sz val="10"/>
      <color indexed="36"/>
      <name val="Times New Roman"/>
      <family val="1"/>
    </font>
    <font>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30" borderId="0">
      <alignment/>
      <protection/>
    </xf>
    <xf numFmtId="0" fontId="11"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399">
    <xf numFmtId="0" fontId="0" fillId="0" borderId="0" xfId="0" applyAlignment="1">
      <alignment/>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vertical="center" wrapText="1"/>
    </xf>
    <xf numFmtId="0" fontId="5" fillId="0" borderId="0" xfId="0" applyFont="1" applyFill="1" applyAlignment="1">
      <alignment vertical="center"/>
    </xf>
    <xf numFmtId="0" fontId="7"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53"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49" fontId="6" fillId="0" borderId="11" xfId="0" applyNumberFormat="1" applyFont="1" applyFill="1" applyBorder="1" applyAlignment="1">
      <alignment horizontal="center" vertical="center" wrapText="1"/>
    </xf>
    <xf numFmtId="0" fontId="6" fillId="0" borderId="0" xfId="0" applyFont="1" applyFill="1" applyAlignment="1">
      <alignment vertical="center"/>
    </xf>
    <xf numFmtId="0" fontId="5" fillId="0" borderId="11" xfId="0" applyNumberFormat="1" applyFont="1" applyFill="1" applyBorder="1" applyAlignment="1">
      <alignment vertical="center" wrapText="1"/>
    </xf>
    <xf numFmtId="0" fontId="5" fillId="0" borderId="11" xfId="0" applyFont="1" applyFill="1" applyBorder="1" applyAlignment="1">
      <alignment vertical="center"/>
    </xf>
    <xf numFmtId="49" fontId="7" fillId="0" borderId="11" xfId="0" applyNumberFormat="1" applyFont="1" applyFill="1" applyBorder="1" applyAlignment="1">
      <alignment vertical="center" wrapText="1"/>
    </xf>
    <xf numFmtId="0" fontId="5" fillId="0" borderId="0" xfId="0" applyFont="1" applyFill="1" applyBorder="1" applyAlignment="1">
      <alignment vertical="center"/>
    </xf>
    <xf numFmtId="49" fontId="7"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13" xfId="0" applyFont="1" applyFill="1" applyBorder="1" applyAlignment="1">
      <alignment horizontal="center" wrapText="1"/>
    </xf>
    <xf numFmtId="0" fontId="7" fillId="0" borderId="0" xfId="0" applyFont="1" applyFill="1" applyAlignment="1">
      <alignment horizontal="center" vertical="top" wrapText="1"/>
    </xf>
    <xf numFmtId="49" fontId="6"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0" fontId="7"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0" borderId="14" xfId="0" applyFont="1" applyFill="1" applyBorder="1" applyAlignment="1">
      <alignment vertical="center"/>
    </xf>
    <xf numFmtId="49" fontId="7" fillId="35" borderId="11" xfId="0" applyNumberFormat="1" applyFont="1" applyFill="1" applyBorder="1" applyAlignment="1">
      <alignment horizontal="center" vertical="center" wrapText="1"/>
    </xf>
    <xf numFmtId="0" fontId="5" fillId="0" borderId="11" xfId="0" applyFont="1" applyFill="1" applyBorder="1" applyAlignment="1">
      <alignment wrapText="1" shrinkToFit="1"/>
    </xf>
    <xf numFmtId="0" fontId="0"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35" borderId="11" xfId="0" applyNumberFormat="1" applyFont="1" applyFill="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left" vertical="center"/>
    </xf>
    <xf numFmtId="0" fontId="5" fillId="0" borderId="11" xfId="0" applyFont="1" applyBorder="1" applyAlignment="1">
      <alignment horizontal="center" vertical="center" wrapText="1"/>
    </xf>
    <xf numFmtId="0" fontId="5" fillId="0" borderId="0" xfId="0" applyFont="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49" fontId="5" fillId="0" borderId="11" xfId="0" applyNumberFormat="1" applyFont="1" applyFill="1" applyBorder="1" applyAlignment="1">
      <alignment vertical="center" wrapText="1"/>
    </xf>
    <xf numFmtId="0" fontId="5" fillId="14" borderId="11" xfId="0" applyFont="1" applyFill="1" applyBorder="1" applyAlignment="1">
      <alignment vertical="center"/>
    </xf>
    <xf numFmtId="0" fontId="5" fillId="14" borderId="0" xfId="0" applyFont="1" applyFill="1" applyAlignment="1">
      <alignment vertical="center"/>
    </xf>
    <xf numFmtId="0" fontId="5" fillId="35" borderId="11" xfId="0" applyFont="1" applyFill="1" applyBorder="1" applyAlignment="1">
      <alignment vertical="center"/>
    </xf>
    <xf numFmtId="0" fontId="12" fillId="0" borderId="11" xfId="0" applyFont="1" applyFill="1" applyBorder="1" applyAlignment="1">
      <alignment horizontal="left" wrapText="1" shrinkToFit="1"/>
    </xf>
    <xf numFmtId="0" fontId="5" fillId="0" borderId="11" xfId="0" applyFont="1" applyFill="1" applyBorder="1" applyAlignment="1">
      <alignment horizontal="left" wrapText="1" shrinkToFit="1"/>
    </xf>
    <xf numFmtId="0" fontId="5" fillId="0" borderId="16" xfId="0" applyFont="1" applyFill="1" applyBorder="1" applyAlignment="1">
      <alignment vertical="center"/>
    </xf>
    <xf numFmtId="0" fontId="12" fillId="0" borderId="12" xfId="0" applyFont="1" applyFill="1" applyBorder="1" applyAlignment="1">
      <alignment horizontal="left" wrapText="1" shrinkToFit="1"/>
    </xf>
    <xf numFmtId="0" fontId="5" fillId="35" borderId="12"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35" borderId="0" xfId="0" applyFont="1" applyFill="1" applyBorder="1" applyAlignment="1">
      <alignment vertical="center"/>
    </xf>
    <xf numFmtId="0" fontId="5" fillId="14" borderId="0" xfId="0" applyFont="1" applyFill="1" applyBorder="1" applyAlignment="1">
      <alignment vertical="center"/>
    </xf>
    <xf numFmtId="0" fontId="12" fillId="0" borderId="0" xfId="0" applyFont="1" applyFill="1" applyBorder="1" applyAlignment="1">
      <alignment horizontal="left" wrapText="1" shrinkToFit="1"/>
    </xf>
    <xf numFmtId="0" fontId="5" fillId="0" borderId="0" xfId="0" applyFont="1" applyBorder="1" applyAlignment="1">
      <alignment vertical="center"/>
    </xf>
    <xf numFmtId="0" fontId="0" fillId="0" borderId="11" xfId="0" applyFont="1" applyFill="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center" vertical="center"/>
    </xf>
    <xf numFmtId="49" fontId="12" fillId="0" borderId="11" xfId="0" applyNumberFormat="1" applyFont="1" applyFill="1" applyBorder="1" applyAlignment="1">
      <alignment horizontal="center" vertical="center" wrapText="1" shrinkToFit="1"/>
    </xf>
    <xf numFmtId="0" fontId="9"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shrinkToFit="1"/>
    </xf>
    <xf numFmtId="49" fontId="5"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left" vertical="center" wrapText="1"/>
    </xf>
    <xf numFmtId="49" fontId="6" fillId="12" borderId="11" xfId="0" applyNumberFormat="1" applyFont="1" applyFill="1" applyBorder="1" applyAlignment="1">
      <alignment horizontal="center" vertical="center" wrapText="1"/>
    </xf>
    <xf numFmtId="49" fontId="7" fillId="12" borderId="11" xfId="0" applyNumberFormat="1" applyFont="1" applyFill="1" applyBorder="1" applyAlignment="1">
      <alignment horizontal="center" vertical="center" wrapText="1"/>
    </xf>
    <xf numFmtId="0" fontId="5" fillId="12" borderId="1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7"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center" vertical="center" wrapText="1"/>
    </xf>
    <xf numFmtId="49" fontId="5" fillId="12" borderId="11" xfId="0" applyNumberFormat="1" applyFont="1" applyFill="1" applyBorder="1" applyAlignment="1">
      <alignment vertical="center" wrapText="1"/>
    </xf>
    <xf numFmtId="49" fontId="5" fillId="12" borderId="11" xfId="0" applyNumberFormat="1" applyFont="1" applyFill="1" applyBorder="1" applyAlignment="1">
      <alignment horizontal="left" vertical="center" wrapText="1"/>
    </xf>
    <xf numFmtId="0" fontId="5" fillId="12" borderId="11" xfId="0" applyNumberFormat="1" applyFont="1" applyFill="1" applyBorder="1" applyAlignment="1">
      <alignment vertical="center" wrapText="1"/>
    </xf>
    <xf numFmtId="0" fontId="6" fillId="12" borderId="11"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1" xfId="53"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vertical="center" wrapText="1"/>
    </xf>
    <xf numFmtId="0" fontId="5" fillId="0" borderId="14" xfId="0" applyFont="1" applyFill="1" applyBorder="1" applyAlignment="1">
      <alignment vertical="center" wrapText="1"/>
    </xf>
    <xf numFmtId="0"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49" fontId="12" fillId="12" borderId="11" xfId="0" applyNumberFormat="1" applyFont="1" applyFill="1" applyBorder="1" applyAlignment="1">
      <alignment horizontal="center" vertical="center" wrapText="1"/>
    </xf>
    <xf numFmtId="0" fontId="7" fillId="12" borderId="11" xfId="0" applyFont="1" applyFill="1" applyBorder="1" applyAlignment="1">
      <alignment horizontal="center" vertical="center" wrapText="1"/>
    </xf>
    <xf numFmtId="49" fontId="6" fillId="34" borderId="11" xfId="0" applyNumberFormat="1" applyFont="1" applyFill="1" applyBorder="1" applyAlignment="1">
      <alignment horizontal="left" vertical="center" wrapText="1"/>
    </xf>
    <xf numFmtId="2" fontId="7" fillId="0" borderId="14"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12" fillId="0" borderId="14" xfId="0" applyFont="1" applyFill="1" applyBorder="1" applyAlignment="1">
      <alignment wrapText="1" shrinkToFit="1"/>
    </xf>
    <xf numFmtId="0" fontId="12" fillId="0" borderId="11" xfId="0" applyFont="1" applyFill="1" applyBorder="1" applyAlignment="1">
      <alignment wrapText="1" shrinkToFit="1"/>
    </xf>
    <xf numFmtId="0" fontId="5" fillId="0" borderId="10" xfId="0" applyFont="1" applyFill="1" applyBorder="1" applyAlignment="1">
      <alignment wrapText="1" shrinkToFit="1"/>
    </xf>
    <xf numFmtId="0" fontId="12"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12" borderId="11" xfId="0" applyFont="1" applyFill="1" applyBorder="1" applyAlignment="1">
      <alignment vertical="center" wrapText="1"/>
    </xf>
    <xf numFmtId="0" fontId="7"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5" fillId="35" borderId="11" xfId="0" applyNumberFormat="1" applyFont="1" applyFill="1" applyBorder="1" applyAlignment="1">
      <alignment horizontal="left" vertical="center" wrapText="1"/>
    </xf>
    <xf numFmtId="0" fontId="6" fillId="0" borderId="12" xfId="0" applyFont="1" applyFill="1" applyBorder="1" applyAlignment="1">
      <alignment vertical="center"/>
    </xf>
    <xf numFmtId="0" fontId="6" fillId="0" borderId="11" xfId="0" applyFont="1" applyFill="1" applyBorder="1" applyAlignment="1">
      <alignment vertical="center"/>
    </xf>
    <xf numFmtId="182" fontId="5" fillId="0" borderId="0" xfId="0" applyNumberFormat="1" applyFont="1" applyFill="1" applyBorder="1" applyAlignment="1">
      <alignment vertical="center"/>
    </xf>
    <xf numFmtId="49" fontId="7" fillId="35" borderId="17" xfId="0" applyNumberFormat="1" applyFont="1" applyFill="1" applyBorder="1" applyAlignment="1">
      <alignment vertical="center" wrapText="1"/>
    </xf>
    <xf numFmtId="49" fontId="5" fillId="35" borderId="17" xfId="0"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12" borderId="14" xfId="0" applyFont="1" applyFill="1" applyBorder="1" applyAlignment="1">
      <alignment horizontal="center" vertical="center" wrapText="1"/>
    </xf>
    <xf numFmtId="0" fontId="5" fillId="12" borderId="14" xfId="0" applyNumberFormat="1" applyFont="1" applyFill="1" applyBorder="1" applyAlignment="1">
      <alignment horizontal="center" vertical="center" wrapText="1"/>
    </xf>
    <xf numFmtId="0" fontId="5" fillId="12"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5" fillId="12" borderId="14" xfId="0" applyNumberFormat="1" applyFont="1" applyFill="1" applyBorder="1" applyAlignment="1">
      <alignment vertical="center" wrapText="1"/>
    </xf>
    <xf numFmtId="49" fontId="7" fillId="12" borderId="14" xfId="0" applyNumberFormat="1" applyFont="1" applyFill="1" applyBorder="1" applyAlignment="1">
      <alignment horizontal="center" vertical="center" wrapText="1"/>
    </xf>
    <xf numFmtId="49" fontId="5" fillId="12" borderId="14" xfId="0" applyNumberFormat="1" applyFont="1" applyFill="1" applyBorder="1" applyAlignment="1">
      <alignment horizontal="center" vertical="center" wrapText="1"/>
    </xf>
    <xf numFmtId="49" fontId="12" fillId="35" borderId="11"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left" wrapText="1"/>
    </xf>
    <xf numFmtId="0" fontId="0"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2" fontId="5" fillId="0" borderId="10" xfId="53" applyNumberFormat="1" applyFont="1" applyFill="1" applyBorder="1" applyAlignment="1">
      <alignment horizontal="left" vertical="center" wrapText="1"/>
      <protection/>
    </xf>
    <xf numFmtId="0" fontId="7" fillId="0" borderId="11" xfId="0" applyFont="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vertical="center" wrapText="1"/>
    </xf>
    <xf numFmtId="0" fontId="7" fillId="0" borderId="14" xfId="0" applyFont="1" applyFill="1" applyBorder="1" applyAlignment="1">
      <alignment vertical="center" wrapText="1"/>
    </xf>
    <xf numFmtId="0" fontId="5" fillId="0" borderId="14" xfId="0" applyNumberFormat="1" applyFont="1" applyFill="1" applyBorder="1" applyAlignment="1">
      <alignment vertical="center" wrapText="1"/>
    </xf>
    <xf numFmtId="0" fontId="7" fillId="0" borderId="11" xfId="0" applyFont="1" applyFill="1" applyBorder="1" applyAlignment="1">
      <alignment vertical="center" wrapText="1"/>
    </xf>
    <xf numFmtId="0" fontId="7" fillId="35" borderId="10"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7" fillId="35" borderId="17" xfId="0" applyNumberFormat="1"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4" fillId="35"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82" fontId="5" fillId="0" borderId="11" xfId="0" applyNumberFormat="1" applyFont="1" applyFill="1" applyBorder="1" applyAlignment="1">
      <alignment vertical="center" wrapText="1"/>
    </xf>
    <xf numFmtId="182" fontId="5" fillId="0" borderId="11"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6" fillId="34" borderId="11" xfId="0" applyFont="1" applyFill="1" applyBorder="1" applyAlignment="1">
      <alignment horizontal="left" vertical="center" wrapText="1"/>
    </xf>
    <xf numFmtId="49" fontId="5" fillId="12"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182" fontId="12" fillId="0" borderId="11" xfId="0" applyNumberFormat="1" applyFont="1" applyFill="1" applyBorder="1" applyAlignment="1">
      <alignment horizontal="center" vertical="center" wrapText="1"/>
    </xf>
    <xf numFmtId="182" fontId="12" fillId="0" borderId="11" xfId="0" applyNumberFormat="1" applyFont="1" applyFill="1" applyBorder="1" applyAlignment="1">
      <alignment vertical="center" wrapText="1"/>
    </xf>
    <xf numFmtId="182" fontId="5" fillId="0" borderId="0" xfId="0" applyNumberFormat="1" applyFont="1" applyFill="1" applyAlignment="1">
      <alignment vertical="center" wrapText="1"/>
    </xf>
    <xf numFmtId="0" fontId="7"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7" fillId="35" borderId="14"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14" xfId="0" applyFont="1" applyBorder="1" applyAlignment="1">
      <alignment horizontal="center" vertical="center" wrapText="1"/>
    </xf>
    <xf numFmtId="18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14" fontId="5" fillId="0" borderId="1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187" fontId="5" fillId="0" borderId="0" xfId="0" applyNumberFormat="1" applyFont="1" applyFill="1" applyAlignment="1">
      <alignment horizontal="right" vertical="center" wrapText="1"/>
    </xf>
    <xf numFmtId="49" fontId="5" fillId="35"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187" fontId="4" fillId="0" borderId="0" xfId="0" applyNumberFormat="1" applyFont="1" applyFill="1" applyAlignment="1">
      <alignment horizontal="center" vertical="center"/>
    </xf>
    <xf numFmtId="187" fontId="5" fillId="0" borderId="11" xfId="0" applyNumberFormat="1" applyFont="1" applyFill="1" applyBorder="1" applyAlignment="1" applyProtection="1">
      <alignment horizontal="center" vertical="center" wrapText="1"/>
      <protection/>
    </xf>
    <xf numFmtId="187" fontId="5" fillId="0" borderId="0" xfId="0" applyNumberFormat="1" applyFont="1" applyFill="1" applyAlignment="1">
      <alignment vertical="center"/>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12" fillId="0" borderId="11" xfId="0" applyNumberFormat="1" applyFont="1" applyFill="1" applyBorder="1" applyAlignment="1">
      <alignment horizontal="left" vertical="center" wrapText="1"/>
    </xf>
    <xf numFmtId="0" fontId="5" fillId="35" borderId="11" xfId="0" applyFont="1" applyFill="1" applyBorder="1" applyAlignment="1">
      <alignment horizontal="center" vertical="center" wrapText="1"/>
    </xf>
    <xf numFmtId="14" fontId="5" fillId="0" borderId="14" xfId="0" applyNumberFormat="1" applyFont="1" applyBorder="1" applyAlignment="1">
      <alignment horizontal="center" vertical="center" wrapText="1"/>
    </xf>
    <xf numFmtId="185" fontId="6" fillId="34" borderId="11" xfId="0" applyNumberFormat="1" applyFont="1" applyFill="1" applyBorder="1" applyAlignment="1">
      <alignment horizontal="center" vertical="center" wrapText="1"/>
    </xf>
    <xf numFmtId="185" fontId="6" fillId="12" borderId="11" xfId="0" applyNumberFormat="1" applyFont="1" applyFill="1" applyBorder="1" applyAlignment="1">
      <alignment horizontal="center" vertical="center" wrapText="1"/>
    </xf>
    <xf numFmtId="185" fontId="5" fillId="0" borderId="11" xfId="0" applyNumberFormat="1" applyFont="1" applyFill="1" applyBorder="1" applyAlignment="1">
      <alignment horizontal="center" vertical="center" wrapText="1"/>
    </xf>
    <xf numFmtId="185" fontId="5" fillId="0" borderId="14" xfId="0" applyNumberFormat="1" applyFont="1" applyFill="1" applyBorder="1" applyAlignment="1">
      <alignment horizontal="center" vertical="center" wrapText="1"/>
    </xf>
    <xf numFmtId="185" fontId="12" fillId="0" borderId="11" xfId="0" applyNumberFormat="1" applyFont="1" applyFill="1" applyBorder="1" applyAlignment="1">
      <alignment horizontal="center" vertical="center"/>
    </xf>
    <xf numFmtId="185" fontId="12" fillId="0" borderId="18" xfId="0" applyNumberFormat="1" applyFont="1" applyFill="1" applyBorder="1" applyAlignment="1">
      <alignment horizontal="center" vertical="center"/>
    </xf>
    <xf numFmtId="185" fontId="5" fillId="0" borderId="18" xfId="0" applyNumberFormat="1" applyFont="1" applyFill="1" applyBorder="1" applyAlignment="1">
      <alignment horizontal="center" vertical="center" wrapText="1"/>
    </xf>
    <xf numFmtId="185" fontId="12" fillId="0" borderId="11" xfId="0" applyNumberFormat="1" applyFont="1" applyFill="1" applyBorder="1" applyAlignment="1">
      <alignment horizontal="center" vertical="center" wrapText="1"/>
    </xf>
    <xf numFmtId="185" fontId="12" fillId="35" borderId="11" xfId="0" applyNumberFormat="1" applyFont="1" applyFill="1" applyBorder="1" applyAlignment="1">
      <alignment horizontal="center" vertical="center" wrapText="1"/>
    </xf>
    <xf numFmtId="185" fontId="5" fillId="0" borderId="10" xfId="0" applyNumberFormat="1" applyFont="1" applyFill="1" applyBorder="1" applyAlignment="1">
      <alignment horizontal="center" vertical="center" wrapText="1"/>
    </xf>
    <xf numFmtId="185" fontId="12" fillId="35" borderId="11" xfId="0" applyNumberFormat="1" applyFont="1" applyFill="1" applyBorder="1" applyAlignment="1">
      <alignment horizontal="center" vertical="center" wrapText="1" shrinkToFit="1"/>
    </xf>
    <xf numFmtId="185" fontId="12" fillId="0" borderId="18" xfId="0" applyNumberFormat="1" applyFont="1" applyFill="1" applyBorder="1" applyAlignment="1">
      <alignment horizontal="center" vertical="center" wrapText="1"/>
    </xf>
    <xf numFmtId="185" fontId="12" fillId="35" borderId="11" xfId="0" applyNumberFormat="1" applyFont="1" applyFill="1" applyBorder="1" applyAlignment="1">
      <alignment horizontal="center" vertical="center"/>
    </xf>
    <xf numFmtId="0" fontId="5" fillId="35" borderId="11"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12"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7" fillId="0" borderId="14" xfId="0" applyFont="1" applyFill="1" applyBorder="1" applyAlignment="1">
      <alignment horizontal="left" vertical="center" wrapText="1"/>
    </xf>
    <xf numFmtId="185" fontId="9" fillId="12" borderId="11" xfId="0" applyNumberFormat="1" applyFont="1" applyFill="1" applyBorder="1" applyAlignment="1">
      <alignment horizontal="center" vertical="center"/>
    </xf>
    <xf numFmtId="49" fontId="5" fillId="35" borderId="14" xfId="0" applyNumberFormat="1"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185" fontId="5" fillId="12"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left" vertical="center" wrapText="1"/>
    </xf>
    <xf numFmtId="185" fontId="6" fillId="35" borderId="11" xfId="0" applyNumberFormat="1" applyFont="1" applyFill="1" applyBorder="1" applyAlignment="1">
      <alignment horizontal="center" vertical="center" wrapText="1"/>
    </xf>
    <xf numFmtId="185" fontId="4" fillId="0" borderId="0" xfId="0" applyNumberFormat="1" applyFont="1" applyFill="1" applyAlignment="1">
      <alignment horizontal="center" vertical="center"/>
    </xf>
    <xf numFmtId="185" fontId="4" fillId="0" borderId="19" xfId="0" applyNumberFormat="1" applyFont="1" applyFill="1" applyBorder="1" applyAlignment="1">
      <alignment horizontal="center" vertical="center"/>
    </xf>
    <xf numFmtId="185" fontId="5" fillId="0" borderId="11" xfId="0" applyNumberFormat="1" applyFont="1" applyFill="1" applyBorder="1" applyAlignment="1" applyProtection="1">
      <alignment horizontal="center" vertical="center" wrapText="1"/>
      <protection/>
    </xf>
    <xf numFmtId="185" fontId="5" fillId="0" borderId="0" xfId="0" applyNumberFormat="1" applyFont="1" applyFill="1" applyAlignment="1">
      <alignment horizontal="right" vertical="center" wrapText="1"/>
    </xf>
    <xf numFmtId="185" fontId="5" fillId="0" borderId="19" xfId="0" applyNumberFormat="1" applyFont="1" applyFill="1" applyBorder="1" applyAlignment="1">
      <alignment horizontal="right" vertical="center" wrapText="1"/>
    </xf>
    <xf numFmtId="185" fontId="5" fillId="0" borderId="0" xfId="0" applyNumberFormat="1" applyFont="1" applyFill="1" applyAlignment="1">
      <alignment vertical="center"/>
    </xf>
    <xf numFmtId="0" fontId="5" fillId="35" borderId="11" xfId="0" applyFont="1" applyFill="1" applyBorder="1" applyAlignment="1">
      <alignment horizontal="center" vertical="center" wrapText="1"/>
    </xf>
    <xf numFmtId="185" fontId="12" fillId="35" borderId="18" xfId="0" applyNumberFormat="1" applyFont="1" applyFill="1" applyBorder="1" applyAlignment="1">
      <alignment horizontal="center" vertical="center" wrapText="1"/>
    </xf>
    <xf numFmtId="188" fontId="5" fillId="0" borderId="19" xfId="0" applyNumberFormat="1" applyFont="1" applyFill="1" applyBorder="1" applyAlignment="1">
      <alignment horizontal="right" vertical="center" wrapText="1"/>
    </xf>
    <xf numFmtId="49" fontId="5"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191" fontId="5" fillId="0" borderId="0" xfId="0" applyNumberFormat="1" applyFont="1" applyFill="1" applyAlignment="1">
      <alignment horizontal="right" vertical="center" wrapText="1"/>
    </xf>
    <xf numFmtId="49" fontId="5" fillId="35" borderId="14"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17" xfId="0" applyFont="1" applyBorder="1" applyAlignment="1">
      <alignment vertical="center" wrapText="1"/>
    </xf>
    <xf numFmtId="0" fontId="7"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182" fontId="5" fillId="0" borderId="11" xfId="0" applyNumberFormat="1"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7" fillId="0" borderId="14" xfId="0" applyFont="1" applyBorder="1" applyAlignment="1">
      <alignment horizontal="center" vertical="center" wrapText="1"/>
    </xf>
    <xf numFmtId="0" fontId="5" fillId="35" borderId="11" xfId="0" applyNumberFormat="1" applyFont="1" applyFill="1" applyBorder="1" applyAlignment="1">
      <alignment horizontal="center" vertical="center" wrapText="1"/>
    </xf>
    <xf numFmtId="0" fontId="5" fillId="12" borderId="14" xfId="0"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5" fillId="35" borderId="11" xfId="0" applyFont="1" applyFill="1" applyBorder="1" applyAlignment="1">
      <alignment horizontal="left" vertical="center" wrapText="1"/>
    </xf>
    <xf numFmtId="0" fontId="5"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185" fontId="5" fillId="35" borderId="11" xfId="0" applyNumberFormat="1" applyFont="1" applyFill="1" applyBorder="1" applyAlignment="1">
      <alignment horizontal="center" vertical="center" wrapText="1"/>
    </xf>
    <xf numFmtId="185" fontId="5" fillId="35" borderId="14" xfId="0" applyNumberFormat="1" applyFont="1" applyFill="1" applyBorder="1" applyAlignment="1">
      <alignment horizontal="center" vertical="center" wrapText="1"/>
    </xf>
    <xf numFmtId="185" fontId="5" fillId="35"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4" xfId="0"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5" fillId="35" borderId="10"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0" fontId="7" fillId="0" borderId="14"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0" fontId="5" fillId="0" borderId="10"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49" fontId="5" fillId="35" borderId="17"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35" borderId="14"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49" fontId="7" fillId="35" borderId="17"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Border="1" applyAlignment="1">
      <alignment horizontal="center" vertical="center" wrapText="1"/>
    </xf>
    <xf numFmtId="0" fontId="5" fillId="0" borderId="10" xfId="0" applyFont="1" applyFill="1" applyBorder="1" applyAlignment="1">
      <alignment vertical="center" wrapText="1"/>
    </xf>
    <xf numFmtId="2" fontId="5" fillId="35" borderId="10" xfId="0" applyNumberFormat="1" applyFont="1" applyFill="1" applyBorder="1" applyAlignment="1">
      <alignment horizontal="left" vertical="center" wrapText="1"/>
    </xf>
    <xf numFmtId="2" fontId="0" fillId="0" borderId="14" xfId="0" applyNumberFormat="1" applyBorder="1" applyAlignment="1">
      <alignment horizontal="left" vertical="center" wrapText="1"/>
    </xf>
    <xf numFmtId="49"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4" xfId="0" applyFont="1" applyFill="1" applyBorder="1" applyAlignment="1">
      <alignment horizontal="center" vertical="center" wrapText="1"/>
    </xf>
    <xf numFmtId="182" fontId="5" fillId="0" borderId="10" xfId="0" applyNumberFormat="1" applyFont="1" applyFill="1" applyBorder="1" applyAlignment="1">
      <alignment vertical="center" wrapText="1"/>
    </xf>
    <xf numFmtId="0" fontId="0" fillId="0" borderId="14" xfId="0" applyFont="1" applyBorder="1" applyAlignment="1">
      <alignment vertical="center" wrapText="1"/>
    </xf>
    <xf numFmtId="49" fontId="5" fillId="0" borderId="17"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13" fillId="0" borderId="17" xfId="0" applyFont="1" applyBorder="1" applyAlignment="1">
      <alignment vertical="center" wrapText="1"/>
    </xf>
    <xf numFmtId="185" fontId="5" fillId="35" borderId="10" xfId="0" applyNumberFormat="1" applyFont="1" applyFill="1" applyBorder="1" applyAlignment="1">
      <alignment horizontal="center" vertical="center" wrapText="1"/>
    </xf>
    <xf numFmtId="185" fontId="5" fillId="0" borderId="14" xfId="0" applyNumberFormat="1" applyFont="1" applyFill="1" applyBorder="1" applyAlignment="1">
      <alignment horizontal="center" vertical="center" wrapText="1"/>
    </xf>
    <xf numFmtId="185" fontId="5" fillId="35" borderId="11"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185" fontId="5" fillId="35" borderId="14" xfId="0" applyNumberFormat="1" applyFont="1" applyFill="1" applyBorder="1" applyAlignment="1">
      <alignment horizontal="center" vertical="center" wrapText="1"/>
    </xf>
    <xf numFmtId="185" fontId="5" fillId="0" borderId="17" xfId="0" applyNumberFormat="1" applyFont="1" applyFill="1" applyBorder="1" applyAlignment="1">
      <alignment horizontal="center" vertical="center" wrapText="1"/>
    </xf>
    <xf numFmtId="0" fontId="5" fillId="0" borderId="17" xfId="0" applyFont="1" applyFill="1" applyBorder="1" applyAlignment="1">
      <alignment vertical="center" wrapText="1"/>
    </xf>
    <xf numFmtId="0" fontId="0" fillId="0" borderId="17" xfId="0" applyFont="1" applyBorder="1" applyAlignment="1">
      <alignment vertical="center" wrapText="1"/>
    </xf>
    <xf numFmtId="0" fontId="5" fillId="0" borderId="10" xfId="0" applyNumberFormat="1" applyFont="1" applyFill="1" applyBorder="1" applyAlignment="1">
      <alignment vertical="center" wrapText="1"/>
    </xf>
    <xf numFmtId="0"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35" borderId="17"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shrinkToFit="1"/>
    </xf>
    <xf numFmtId="0" fontId="5" fillId="35" borderId="17" xfId="0" applyFont="1" applyFill="1" applyBorder="1" applyAlignment="1">
      <alignment horizontal="center" vertical="center" wrapText="1" shrinkToFit="1"/>
    </xf>
    <xf numFmtId="0" fontId="12" fillId="0" borderId="0" xfId="0" applyFont="1" applyFill="1" applyAlignment="1">
      <alignment horizontal="left" vertical="center" wrapText="1"/>
    </xf>
    <xf numFmtId="0" fontId="5" fillId="0" borderId="20" xfId="0" applyFont="1" applyFill="1" applyBorder="1" applyAlignment="1">
      <alignment horizontal="center" vertical="top"/>
    </xf>
    <xf numFmtId="0" fontId="0" fillId="0" borderId="14" xfId="0" applyFont="1" applyBorder="1" applyAlignment="1">
      <alignment horizontal="left" vertical="center" wrapText="1"/>
    </xf>
    <xf numFmtId="185" fontId="5" fillId="0" borderId="18" xfId="0" applyNumberFormat="1" applyFont="1" applyFill="1" applyBorder="1" applyAlignment="1" applyProtection="1">
      <alignment horizontal="center" vertical="center" wrapText="1"/>
      <protection/>
    </xf>
    <xf numFmtId="185" fontId="5" fillId="0" borderId="12" xfId="0" applyNumberFormat="1" applyFont="1" applyFill="1" applyBorder="1" applyAlignment="1" applyProtection="1">
      <alignment horizontal="center" vertical="center" wrapText="1"/>
      <protection/>
    </xf>
    <xf numFmtId="187" fontId="5" fillId="0" borderId="0" xfId="0" applyNumberFormat="1" applyFont="1" applyFill="1" applyAlignment="1">
      <alignment horizontal="right" vertical="center"/>
    </xf>
    <xf numFmtId="191" fontId="5" fillId="0" borderId="0" xfId="0" applyNumberFormat="1" applyFont="1" applyFill="1" applyAlignment="1">
      <alignment horizontal="right" vertical="center"/>
    </xf>
    <xf numFmtId="185" fontId="5" fillId="0" borderId="0" xfId="0" applyNumberFormat="1" applyFont="1" applyFill="1" applyAlignment="1">
      <alignment horizontal="right" vertical="center"/>
    </xf>
    <xf numFmtId="0" fontId="4" fillId="0" borderId="0" xfId="0" applyFont="1" applyFill="1" applyAlignment="1">
      <alignment horizontal="center" vertical="center"/>
    </xf>
    <xf numFmtId="187" fontId="5" fillId="0" borderId="18" xfId="0" applyNumberFormat="1" applyFont="1" applyFill="1" applyBorder="1" applyAlignment="1" applyProtection="1">
      <alignment horizontal="center" vertical="center" wrapText="1"/>
      <protection/>
    </xf>
    <xf numFmtId="187"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87" fontId="5" fillId="0" borderId="2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185" fontId="5"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wrapText="1"/>
    </xf>
    <xf numFmtId="49" fontId="5" fillId="35" borderId="17"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0" fillId="0" borderId="17" xfId="0" applyBorder="1" applyAlignment="1">
      <alignment horizontal="left" vertical="center" wrapText="1"/>
    </xf>
    <xf numFmtId="49" fontId="12" fillId="35" borderId="10" xfId="0" applyNumberFormat="1" applyFont="1" applyFill="1" applyBorder="1" applyAlignment="1">
      <alignment horizontal="center" vertical="center" wrapText="1"/>
    </xf>
    <xf numFmtId="49" fontId="12" fillId="35" borderId="17" xfId="0" applyNumberFormat="1" applyFont="1" applyFill="1" applyBorder="1" applyAlignment="1">
      <alignment horizontal="center" vertical="center" wrapText="1"/>
    </xf>
    <xf numFmtId="49" fontId="12" fillId="35" borderId="14"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5" fillId="0" borderId="17" xfId="0" applyNumberFormat="1" applyFont="1" applyFill="1" applyBorder="1" applyAlignment="1">
      <alignment horizontal="left" vertical="center" wrapText="1"/>
    </xf>
    <xf numFmtId="185" fontId="5" fillId="35" borderId="11" xfId="0" applyNumberFormat="1" applyFont="1" applyFill="1" applyBorder="1" applyAlignment="1">
      <alignment horizontal="center" vertic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97"/>
  <sheetViews>
    <sheetView tabSelected="1" view="pageBreakPreview" zoomScale="80" zoomScaleNormal="60" zoomScaleSheetLayoutView="80" workbookViewId="0" topLeftCell="C1">
      <selection activeCell="M540" sqref="J9:M540"/>
    </sheetView>
  </sheetViews>
  <sheetFormatPr defaultColWidth="9.00390625" defaultRowHeight="12.75"/>
  <cols>
    <col min="1" max="1" width="7.375" style="14" customWidth="1"/>
    <col min="2" max="2" width="53.25390625" style="15" customWidth="1"/>
    <col min="3" max="3" width="15.75390625" style="14" customWidth="1"/>
    <col min="4" max="4" width="6.75390625" style="16" customWidth="1"/>
    <col min="5" max="5" width="15.125" style="16" customWidth="1"/>
    <col min="6" max="6" width="7.625" style="16" customWidth="1"/>
    <col min="7" max="7" width="62.375" style="17" customWidth="1"/>
    <col min="8" max="8" width="17.375" style="14" customWidth="1"/>
    <col min="9" max="9" width="12.00390625" style="14" customWidth="1"/>
    <col min="10" max="10" width="18.125" style="200" customWidth="1"/>
    <col min="11" max="11" width="18.25390625" style="250" customWidth="1"/>
    <col min="12" max="12" width="18.125" style="242" customWidth="1"/>
    <col min="13" max="13" width="18.125" style="243" customWidth="1"/>
    <col min="14" max="60" width="9.125" style="26" customWidth="1"/>
    <col min="61" max="16384" width="9.125" style="8" customWidth="1"/>
  </cols>
  <sheetData>
    <row r="1" spans="2:60" s="18" customFormat="1" ht="18.75">
      <c r="B1" s="188" t="s">
        <v>748</v>
      </c>
      <c r="G1" s="19"/>
      <c r="J1" s="363"/>
      <c r="K1" s="364"/>
      <c r="L1" s="365"/>
      <c r="M1" s="365"/>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row>
    <row r="2" spans="2:60" s="18" customFormat="1" ht="18.75" customHeight="1">
      <c r="B2" s="189" t="s">
        <v>1008</v>
      </c>
      <c r="G2" s="19"/>
      <c r="J2" s="363"/>
      <c r="K2" s="363"/>
      <c r="L2" s="363"/>
      <c r="M2" s="363"/>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row>
    <row r="3" spans="1:60" s="18" customFormat="1" ht="18.75" customHeight="1">
      <c r="A3" s="366" t="s">
        <v>129</v>
      </c>
      <c r="B3" s="366"/>
      <c r="C3" s="366"/>
      <c r="D3" s="366"/>
      <c r="E3" s="366"/>
      <c r="F3" s="366"/>
      <c r="G3" s="366"/>
      <c r="H3" s="366"/>
      <c r="I3" s="366"/>
      <c r="J3" s="366"/>
      <c r="K3" s="366"/>
      <c r="L3" s="366"/>
      <c r="M3" s="3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row>
    <row r="4" spans="1:60" s="18" customFormat="1" ht="15" customHeight="1">
      <c r="A4" s="20"/>
      <c r="B4" s="139"/>
      <c r="C4" s="20"/>
      <c r="D4" s="20"/>
      <c r="E4" s="20"/>
      <c r="F4" s="20"/>
      <c r="G4" s="20"/>
      <c r="H4" s="20"/>
      <c r="I4" s="20"/>
      <c r="J4" s="203"/>
      <c r="K4" s="203"/>
      <c r="L4" s="239"/>
      <c r="M4" s="240"/>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row>
    <row r="5" spans="1:60" s="18" customFormat="1" ht="15" customHeight="1">
      <c r="A5" s="369" t="s">
        <v>33</v>
      </c>
      <c r="B5" s="370"/>
      <c r="C5" s="293" t="s">
        <v>29</v>
      </c>
      <c r="D5" s="376" t="s">
        <v>34</v>
      </c>
      <c r="E5" s="376" t="s">
        <v>36</v>
      </c>
      <c r="F5" s="376" t="s">
        <v>35</v>
      </c>
      <c r="G5" s="369" t="s">
        <v>13</v>
      </c>
      <c r="H5" s="379"/>
      <c r="I5" s="370"/>
      <c r="J5" s="367" t="s">
        <v>30</v>
      </c>
      <c r="K5" s="375"/>
      <c r="L5" s="375"/>
      <c r="M5" s="368"/>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row>
    <row r="6" spans="1:60" s="18" customFormat="1" ht="32.25" customHeight="1">
      <c r="A6" s="371"/>
      <c r="B6" s="372"/>
      <c r="C6" s="295"/>
      <c r="D6" s="377"/>
      <c r="E6" s="377"/>
      <c r="F6" s="377"/>
      <c r="G6" s="373"/>
      <c r="H6" s="380"/>
      <c r="I6" s="374"/>
      <c r="J6" s="367" t="s">
        <v>442</v>
      </c>
      <c r="K6" s="368"/>
      <c r="L6" s="361" t="s">
        <v>443</v>
      </c>
      <c r="M6" s="362"/>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row>
    <row r="7" spans="1:60" s="18" customFormat="1" ht="116.25" customHeight="1">
      <c r="A7" s="373"/>
      <c r="B7" s="374"/>
      <c r="C7" s="294"/>
      <c r="D7" s="378"/>
      <c r="E7" s="378"/>
      <c r="F7" s="378"/>
      <c r="G7" s="161" t="s">
        <v>14</v>
      </c>
      <c r="H7" s="161" t="s">
        <v>15</v>
      </c>
      <c r="I7" s="161" t="s">
        <v>16</v>
      </c>
      <c r="J7" s="204" t="s">
        <v>7</v>
      </c>
      <c r="K7" s="204" t="s">
        <v>45</v>
      </c>
      <c r="L7" s="241" t="s">
        <v>31</v>
      </c>
      <c r="M7" s="241" t="s">
        <v>32</v>
      </c>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row>
    <row r="8" spans="1:60" s="18" customFormat="1" ht="30" customHeight="1">
      <c r="A8" s="161" t="s">
        <v>438</v>
      </c>
      <c r="B8" s="161" t="s">
        <v>17</v>
      </c>
      <c r="C8" s="161" t="s">
        <v>18</v>
      </c>
      <c r="D8" s="162" t="s">
        <v>19</v>
      </c>
      <c r="E8" s="162" t="s">
        <v>20</v>
      </c>
      <c r="F8" s="162" t="s">
        <v>21</v>
      </c>
      <c r="G8" s="161" t="s">
        <v>22</v>
      </c>
      <c r="H8" s="161" t="s">
        <v>23</v>
      </c>
      <c r="I8" s="161" t="s">
        <v>24</v>
      </c>
      <c r="J8" s="204" t="s">
        <v>25</v>
      </c>
      <c r="K8" s="204" t="s">
        <v>26</v>
      </c>
      <c r="L8" s="241" t="s">
        <v>27</v>
      </c>
      <c r="M8" s="241" t="s">
        <v>28</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row>
    <row r="9" spans="1:60" s="22" customFormat="1" ht="57" customHeight="1">
      <c r="A9" s="37" t="s">
        <v>130</v>
      </c>
      <c r="B9" s="38" t="s">
        <v>138</v>
      </c>
      <c r="C9" s="37"/>
      <c r="D9" s="37"/>
      <c r="E9" s="37"/>
      <c r="F9" s="39"/>
      <c r="G9" s="40"/>
      <c r="H9" s="41"/>
      <c r="I9" s="41"/>
      <c r="J9" s="211">
        <f>J10+J341+J529+J435</f>
        <v>1560015.40338</v>
      </c>
      <c r="K9" s="211">
        <f>K10+K341+K529+K435</f>
        <v>1540168.9145</v>
      </c>
      <c r="L9" s="211">
        <f>L10+L341+L529+L435+L541</f>
        <v>1316334.2597000003</v>
      </c>
      <c r="M9" s="211">
        <f>M10+M341+M529+M435+M541</f>
        <v>985870.13462</v>
      </c>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row>
    <row r="10" spans="1:60" s="22" customFormat="1" ht="71.25" customHeight="1">
      <c r="A10" s="37" t="s">
        <v>139</v>
      </c>
      <c r="B10" s="38" t="s">
        <v>141</v>
      </c>
      <c r="C10" s="37"/>
      <c r="D10" s="37"/>
      <c r="E10" s="37"/>
      <c r="F10" s="39"/>
      <c r="G10" s="40"/>
      <c r="H10" s="41"/>
      <c r="I10" s="41"/>
      <c r="J10" s="211">
        <f>J11+J20+J43+J68+J76+J102+J107+J110+J116+J120+J123+J129+J132+J149+J169+J175+J193+J200+J209+J214+J231+J249+J252+J255+J258+J281+J295+J301+J306+J313+J319+J325+J338+J309+J290+J97</f>
        <v>973008.8579199999</v>
      </c>
      <c r="K10" s="211">
        <f>K11+K20+K43+K68+K76+K102+K107+K110+K116+K120+K123+K129+K132+K149+K169+K175+K193+K200+K209+K214+K231+K249+K252+K255+K258+K281+K295+K301+K306+K313+K319+K325+K338+K309+K290+K97</f>
        <v>958826.94792</v>
      </c>
      <c r="L10" s="211">
        <f>L11+L20+L43+L68+L76+L102+L107+L110+L116+L120+L123+L129+L132+L149+L169+L175+L193+L200+L209+L214+L231+L249+L252+L255+L258+L281+L295+L301+L306+L313+L319+L325+L338+L309+L290+L97</f>
        <v>768072.6595900002</v>
      </c>
      <c r="M10" s="211">
        <f>M11+M20+M43+M68+M76+M102+M107+M110+M116+M120+M123+M129+M132+M149+M169+M175+M193+M200+M209+M214+M231+M249+M252+M255+M258+M281+M295+M301+M306+M313+M319+M325+M338+M309+M290+M97</f>
        <v>410929.9776599999</v>
      </c>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row>
    <row r="11" spans="1:60" s="22" customFormat="1" ht="84" customHeight="1">
      <c r="A11" s="78" t="s">
        <v>408</v>
      </c>
      <c r="B11" s="87" t="s">
        <v>409</v>
      </c>
      <c r="C11" s="78"/>
      <c r="D11" s="78"/>
      <c r="E11" s="78"/>
      <c r="F11" s="78"/>
      <c r="G11" s="78"/>
      <c r="H11" s="78"/>
      <c r="I11" s="78"/>
      <c r="J11" s="212">
        <f>J12+J17</f>
        <v>13245.796960000001</v>
      </c>
      <c r="K11" s="212">
        <f>K12+K17</f>
        <v>13385.00796</v>
      </c>
      <c r="L11" s="212">
        <f>L12+L17</f>
        <v>12724.300000000001</v>
      </c>
      <c r="M11" s="212">
        <f>M12+M17</f>
        <v>12724.300000000001</v>
      </c>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row>
    <row r="12" spans="1:60" s="22" customFormat="1" ht="60" customHeight="1">
      <c r="A12" s="2"/>
      <c r="B12" s="6" t="s">
        <v>113</v>
      </c>
      <c r="C12" s="2"/>
      <c r="D12" s="2"/>
      <c r="E12" s="2" t="s">
        <v>64</v>
      </c>
      <c r="F12" s="2"/>
      <c r="G12" s="2"/>
      <c r="H12" s="2"/>
      <c r="I12" s="2"/>
      <c r="J12" s="213">
        <f>J13+J14+J15+J16</f>
        <v>13222.807</v>
      </c>
      <c r="K12" s="213">
        <f>K13+K14+K15+K16</f>
        <v>13362.018</v>
      </c>
      <c r="L12" s="213">
        <f>L13+L14+L15+L16</f>
        <v>12724.300000000001</v>
      </c>
      <c r="M12" s="213">
        <f>M13+M14+M15+M16</f>
        <v>12724.300000000001</v>
      </c>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row>
    <row r="13" spans="1:60" s="22" customFormat="1" ht="45" customHeight="1">
      <c r="A13" s="2"/>
      <c r="B13" s="7" t="s">
        <v>444</v>
      </c>
      <c r="C13" s="2" t="s">
        <v>424</v>
      </c>
      <c r="D13" s="2" t="s">
        <v>332</v>
      </c>
      <c r="E13" s="2" t="s">
        <v>426</v>
      </c>
      <c r="F13" s="2" t="s">
        <v>37</v>
      </c>
      <c r="G13" s="92" t="s">
        <v>578</v>
      </c>
      <c r="H13" s="154" t="s">
        <v>104</v>
      </c>
      <c r="I13" s="96" t="s">
        <v>330</v>
      </c>
      <c r="J13" s="213">
        <f>9472.2-60-290-93</f>
        <v>9029.2</v>
      </c>
      <c r="K13" s="213">
        <f>9472.2-60-290-93</f>
        <v>9029.2</v>
      </c>
      <c r="L13" s="213">
        <v>9472.2</v>
      </c>
      <c r="M13" s="213">
        <v>9472.2</v>
      </c>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row>
    <row r="14" spans="1:60" s="22" customFormat="1" ht="60.75" customHeight="1">
      <c r="A14" s="2"/>
      <c r="B14" s="7" t="s">
        <v>444</v>
      </c>
      <c r="C14" s="2" t="s">
        <v>424</v>
      </c>
      <c r="D14" s="2" t="s">
        <v>332</v>
      </c>
      <c r="E14" s="2" t="s">
        <v>426</v>
      </c>
      <c r="F14" s="2" t="s">
        <v>38</v>
      </c>
      <c r="G14" s="92" t="s">
        <v>418</v>
      </c>
      <c r="H14" s="192" t="s">
        <v>331</v>
      </c>
      <c r="I14" s="96" t="s">
        <v>419</v>
      </c>
      <c r="J14" s="213">
        <f>573.21-35.71-21.6+60+203</f>
        <v>778.9</v>
      </c>
      <c r="K14" s="213">
        <f>573.21-35.71-21.6+60+203</f>
        <v>778.9</v>
      </c>
      <c r="L14" s="213">
        <v>0</v>
      </c>
      <c r="M14" s="213">
        <v>0</v>
      </c>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row>
    <row r="15" spans="1:60" s="22" customFormat="1" ht="45.75" customHeight="1">
      <c r="A15" s="2"/>
      <c r="B15" s="298" t="s">
        <v>444</v>
      </c>
      <c r="C15" s="2" t="s">
        <v>391</v>
      </c>
      <c r="D15" s="2" t="s">
        <v>332</v>
      </c>
      <c r="E15" s="2" t="s">
        <v>426</v>
      </c>
      <c r="F15" s="2" t="s">
        <v>37</v>
      </c>
      <c r="G15" s="3" t="s">
        <v>577</v>
      </c>
      <c r="H15" s="49" t="s">
        <v>104</v>
      </c>
      <c r="I15" s="5" t="s">
        <v>330</v>
      </c>
      <c r="J15" s="213">
        <v>3252.1</v>
      </c>
      <c r="K15" s="213">
        <f>3252.1+198.321</f>
        <v>3450.421</v>
      </c>
      <c r="L15" s="213">
        <v>3252.1</v>
      </c>
      <c r="M15" s="213">
        <v>3252.1</v>
      </c>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row>
    <row r="16" spans="1:60" s="22" customFormat="1" ht="60.75" customHeight="1">
      <c r="A16" s="2"/>
      <c r="B16" s="338"/>
      <c r="C16" s="2" t="s">
        <v>391</v>
      </c>
      <c r="D16" s="2" t="s">
        <v>332</v>
      </c>
      <c r="E16" s="2" t="s">
        <v>426</v>
      </c>
      <c r="F16" s="2" t="s">
        <v>38</v>
      </c>
      <c r="G16" s="3" t="s">
        <v>418</v>
      </c>
      <c r="H16" s="49" t="s">
        <v>331</v>
      </c>
      <c r="I16" s="146" t="s">
        <v>419</v>
      </c>
      <c r="J16" s="213">
        <v>162.607</v>
      </c>
      <c r="K16" s="213">
        <f>146.3-42.803</f>
        <v>103.49700000000001</v>
      </c>
      <c r="L16" s="213">
        <v>0</v>
      </c>
      <c r="M16" s="213">
        <v>0</v>
      </c>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s="22" customFormat="1" ht="49.5" customHeight="1">
      <c r="A17" s="2"/>
      <c r="B17" s="259" t="s">
        <v>722</v>
      </c>
      <c r="C17" s="2"/>
      <c r="D17" s="2"/>
      <c r="E17" s="2" t="s">
        <v>590</v>
      </c>
      <c r="F17" s="2"/>
      <c r="G17" s="92"/>
      <c r="H17" s="192"/>
      <c r="I17" s="193"/>
      <c r="J17" s="213">
        <f>J18+J19</f>
        <v>22.989960000000004</v>
      </c>
      <c r="K17" s="213">
        <f>K18+K19</f>
        <v>22.989960000000004</v>
      </c>
      <c r="L17" s="213">
        <v>0</v>
      </c>
      <c r="M17" s="213">
        <v>0</v>
      </c>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s="22" customFormat="1" ht="15" customHeight="1">
      <c r="A18" s="2"/>
      <c r="B18" s="110" t="s">
        <v>757</v>
      </c>
      <c r="C18" s="2" t="s">
        <v>424</v>
      </c>
      <c r="D18" s="2" t="s">
        <v>9</v>
      </c>
      <c r="E18" s="2" t="s">
        <v>758</v>
      </c>
      <c r="F18" s="2" t="s">
        <v>38</v>
      </c>
      <c r="G18" s="283" t="s">
        <v>418</v>
      </c>
      <c r="H18" s="286" t="s">
        <v>331</v>
      </c>
      <c r="I18" s="288" t="s">
        <v>419</v>
      </c>
      <c r="J18" s="213">
        <f>21.6-2.7</f>
        <v>18.900000000000002</v>
      </c>
      <c r="K18" s="213">
        <f>21.6-2.7</f>
        <v>18.900000000000002</v>
      </c>
      <c r="L18" s="213">
        <v>0</v>
      </c>
      <c r="M18" s="213">
        <v>0</v>
      </c>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s="22" customFormat="1" ht="45" customHeight="1">
      <c r="A19" s="2"/>
      <c r="B19" s="110" t="s">
        <v>755</v>
      </c>
      <c r="C19" s="2" t="s">
        <v>424</v>
      </c>
      <c r="D19" s="2" t="s">
        <v>332</v>
      </c>
      <c r="E19" s="2" t="s">
        <v>756</v>
      </c>
      <c r="F19" s="2" t="s">
        <v>38</v>
      </c>
      <c r="G19" s="285"/>
      <c r="H19" s="285"/>
      <c r="I19" s="285"/>
      <c r="J19" s="213">
        <v>4.08996</v>
      </c>
      <c r="K19" s="213">
        <v>4.08996</v>
      </c>
      <c r="L19" s="213">
        <v>0</v>
      </c>
      <c r="M19" s="213">
        <v>0</v>
      </c>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row>
    <row r="20" spans="1:13" ht="45" customHeight="1">
      <c r="A20" s="78" t="s">
        <v>150</v>
      </c>
      <c r="B20" s="79" t="s">
        <v>149</v>
      </c>
      <c r="C20" s="78"/>
      <c r="D20" s="80"/>
      <c r="E20" s="80"/>
      <c r="F20" s="78"/>
      <c r="G20" s="81"/>
      <c r="H20" s="80"/>
      <c r="I20" s="80"/>
      <c r="J20" s="212">
        <f>J21+J40</f>
        <v>21067.142089999998</v>
      </c>
      <c r="K20" s="212">
        <f>K21+K40</f>
        <v>20677.142089999998</v>
      </c>
      <c r="L20" s="212">
        <f>L21</f>
        <v>6384.528</v>
      </c>
      <c r="M20" s="212">
        <f>M21</f>
        <v>6948.474200000001</v>
      </c>
    </row>
    <row r="21" spans="1:62" ht="45" customHeight="1">
      <c r="A21" s="57"/>
      <c r="B21" s="23" t="s">
        <v>182</v>
      </c>
      <c r="C21" s="2"/>
      <c r="D21" s="10"/>
      <c r="E21" s="10" t="s">
        <v>70</v>
      </c>
      <c r="F21" s="10"/>
      <c r="G21" s="10"/>
      <c r="H21" s="10"/>
      <c r="I21" s="10"/>
      <c r="J21" s="213">
        <f>J22+J34</f>
        <v>20610.661139999997</v>
      </c>
      <c r="K21" s="213">
        <f>K22+K34</f>
        <v>20220.661139999997</v>
      </c>
      <c r="L21" s="213">
        <f>L22+L34</f>
        <v>6384.528</v>
      </c>
      <c r="M21" s="213">
        <f>M22+M34</f>
        <v>6948.474200000001</v>
      </c>
      <c r="BI21" s="26"/>
      <c r="BJ21" s="26"/>
    </row>
    <row r="22" spans="1:62" ht="30" customHeight="1">
      <c r="A22" s="57"/>
      <c r="B22" s="11" t="s">
        <v>495</v>
      </c>
      <c r="C22" s="2"/>
      <c r="D22" s="10"/>
      <c r="E22" s="10" t="s">
        <v>71</v>
      </c>
      <c r="F22" s="10"/>
      <c r="G22" s="10"/>
      <c r="H22" s="10"/>
      <c r="I22" s="10"/>
      <c r="J22" s="213">
        <f>J23+J33</f>
        <v>19262.561139999998</v>
      </c>
      <c r="K22" s="213">
        <f>K23+K33</f>
        <v>18872.561139999998</v>
      </c>
      <c r="L22" s="213">
        <f>L23+L33</f>
        <v>4082.5000000000005</v>
      </c>
      <c r="M22" s="213">
        <f>M23+M33</f>
        <v>4390.5</v>
      </c>
      <c r="BI22" s="26"/>
      <c r="BJ22" s="26"/>
    </row>
    <row r="23" spans="1:62" ht="45" customHeight="1">
      <c r="A23" s="57"/>
      <c r="B23" s="50" t="s">
        <v>496</v>
      </c>
      <c r="C23" s="2"/>
      <c r="D23" s="106"/>
      <c r="E23" s="106" t="s">
        <v>183</v>
      </c>
      <c r="F23" s="106"/>
      <c r="G23" s="93"/>
      <c r="H23" s="2"/>
      <c r="I23" s="2"/>
      <c r="J23" s="213">
        <f>SUM(J24:J32)</f>
        <v>18177.86911</v>
      </c>
      <c r="K23" s="213">
        <f>SUM(K24:K32)</f>
        <v>17787.86911</v>
      </c>
      <c r="L23" s="213">
        <f>SUM(L24:L32)</f>
        <v>4082.5000000000005</v>
      </c>
      <c r="M23" s="213">
        <f>SUM(M24:M32)</f>
        <v>4082.5000000000005</v>
      </c>
      <c r="BI23" s="26"/>
      <c r="BJ23" s="26"/>
    </row>
    <row r="24" spans="1:62" ht="19.5" customHeight="1">
      <c r="A24" s="290"/>
      <c r="B24" s="309" t="s">
        <v>184</v>
      </c>
      <c r="C24" s="180" t="s">
        <v>494</v>
      </c>
      <c r="D24" s="106" t="s">
        <v>9</v>
      </c>
      <c r="E24" s="106" t="s">
        <v>185</v>
      </c>
      <c r="F24" s="106" t="s">
        <v>38</v>
      </c>
      <c r="G24" s="303" t="s">
        <v>853</v>
      </c>
      <c r="H24" s="290" t="s">
        <v>364</v>
      </c>
      <c r="I24" s="290" t="s">
        <v>830</v>
      </c>
      <c r="J24" s="213">
        <f>5073.8+217.98016+67.85766+74.206+1567.855+269.731+644.6592+579.02172+127.12668+604.5555+441.65-1.13853+270</f>
        <v>9937.30439</v>
      </c>
      <c r="K24" s="213">
        <f>5073.8+217.98016+67.85766+74.206+1567.855+269.731+644.6592+579.02172+127.12668+604.5555+441.65-1.13853+270</f>
        <v>9937.30439</v>
      </c>
      <c r="L24" s="213">
        <v>3827.9</v>
      </c>
      <c r="M24" s="213">
        <v>3827.9</v>
      </c>
      <c r="BI24" s="26"/>
      <c r="BJ24" s="26"/>
    </row>
    <row r="25" spans="1:62" ht="16.5" customHeight="1">
      <c r="A25" s="292"/>
      <c r="B25" s="310"/>
      <c r="C25" s="180" t="s">
        <v>494</v>
      </c>
      <c r="D25" s="106" t="s">
        <v>9</v>
      </c>
      <c r="E25" s="106" t="s">
        <v>185</v>
      </c>
      <c r="F25" s="106" t="s">
        <v>39</v>
      </c>
      <c r="G25" s="304"/>
      <c r="H25" s="291"/>
      <c r="I25" s="291"/>
      <c r="J25" s="213">
        <f>87.8-35</f>
        <v>52.8</v>
      </c>
      <c r="K25" s="213">
        <f>87.8-35</f>
        <v>52.8</v>
      </c>
      <c r="L25" s="213">
        <v>87.8</v>
      </c>
      <c r="M25" s="213">
        <v>87.8</v>
      </c>
      <c r="BI25" s="26"/>
      <c r="BJ25" s="26"/>
    </row>
    <row r="26" spans="1:62" ht="49.5" customHeight="1">
      <c r="A26" s="105"/>
      <c r="B26" s="147" t="s">
        <v>982</v>
      </c>
      <c r="C26" s="254" t="s">
        <v>494</v>
      </c>
      <c r="D26" s="106" t="s">
        <v>211</v>
      </c>
      <c r="E26" s="135" t="s">
        <v>435</v>
      </c>
      <c r="F26" s="106" t="s">
        <v>112</v>
      </c>
      <c r="G26" s="304"/>
      <c r="H26" s="291"/>
      <c r="I26" s="291"/>
      <c r="J26" s="213">
        <f>3856.4793+3856.4+88.72403-293.91792-287.30207</f>
        <v>7220.383340000001</v>
      </c>
      <c r="K26" s="213">
        <f>3856.4793+3856.4+88.72403-293.91792-287.30207</f>
        <v>7220.383340000001</v>
      </c>
      <c r="L26" s="213">
        <v>0</v>
      </c>
      <c r="M26" s="213">
        <v>0</v>
      </c>
      <c r="BI26" s="26"/>
      <c r="BJ26" s="26"/>
    </row>
    <row r="27" spans="1:62" ht="21.75" customHeight="1">
      <c r="A27" s="94"/>
      <c r="B27" s="11" t="s">
        <v>111</v>
      </c>
      <c r="C27" s="180" t="s">
        <v>494</v>
      </c>
      <c r="D27" s="106" t="s">
        <v>9</v>
      </c>
      <c r="E27" s="106" t="s">
        <v>188</v>
      </c>
      <c r="F27" s="106" t="s">
        <v>38</v>
      </c>
      <c r="G27" s="304"/>
      <c r="H27" s="291"/>
      <c r="I27" s="291"/>
      <c r="J27" s="213">
        <f>117+70</f>
        <v>187</v>
      </c>
      <c r="K27" s="213">
        <f>117+70</f>
        <v>187</v>
      </c>
      <c r="L27" s="213">
        <v>117</v>
      </c>
      <c r="M27" s="213">
        <v>117</v>
      </c>
      <c r="BI27" s="26"/>
      <c r="BJ27" s="26"/>
    </row>
    <row r="28" spans="1:62" ht="48.75" customHeight="1">
      <c r="A28" s="94"/>
      <c r="B28" s="99" t="s">
        <v>189</v>
      </c>
      <c r="C28" s="180" t="s">
        <v>494</v>
      </c>
      <c r="D28" s="106" t="s">
        <v>9</v>
      </c>
      <c r="E28" s="106" t="s">
        <v>190</v>
      </c>
      <c r="F28" s="106" t="s">
        <v>38</v>
      </c>
      <c r="G28" s="304"/>
      <c r="H28" s="291"/>
      <c r="I28" s="291"/>
      <c r="J28" s="213">
        <f>33.8-2.641</f>
        <v>31.159</v>
      </c>
      <c r="K28" s="213">
        <f>33.8-2.641</f>
        <v>31.159</v>
      </c>
      <c r="L28" s="213">
        <v>33.8</v>
      </c>
      <c r="M28" s="213">
        <v>33.8</v>
      </c>
      <c r="BI28" s="26"/>
      <c r="BJ28" s="26"/>
    </row>
    <row r="29" spans="1:62" ht="36.75" customHeight="1">
      <c r="A29" s="94"/>
      <c r="B29" s="99" t="s">
        <v>497</v>
      </c>
      <c r="C29" s="180" t="s">
        <v>494</v>
      </c>
      <c r="D29" s="106" t="s">
        <v>9</v>
      </c>
      <c r="E29" s="106" t="s">
        <v>499</v>
      </c>
      <c r="F29" s="106" t="s">
        <v>38</v>
      </c>
      <c r="G29" s="304"/>
      <c r="H29" s="291"/>
      <c r="I29" s="291"/>
      <c r="J29" s="213">
        <v>10.2</v>
      </c>
      <c r="K29" s="213">
        <v>10.2</v>
      </c>
      <c r="L29" s="213">
        <v>10.2</v>
      </c>
      <c r="M29" s="213">
        <v>10.2</v>
      </c>
      <c r="BI29" s="26"/>
      <c r="BJ29" s="26"/>
    </row>
    <row r="30" spans="1:62" ht="19.5" customHeight="1">
      <c r="A30" s="94"/>
      <c r="B30" s="99" t="s">
        <v>498</v>
      </c>
      <c r="C30" s="180" t="s">
        <v>494</v>
      </c>
      <c r="D30" s="106" t="s">
        <v>9</v>
      </c>
      <c r="E30" s="106" t="s">
        <v>500</v>
      </c>
      <c r="F30" s="106" t="s">
        <v>38</v>
      </c>
      <c r="G30" s="304"/>
      <c r="H30" s="291"/>
      <c r="I30" s="291"/>
      <c r="J30" s="213">
        <v>5.8</v>
      </c>
      <c r="K30" s="213">
        <v>5.8</v>
      </c>
      <c r="L30" s="213">
        <v>5.8</v>
      </c>
      <c r="M30" s="213">
        <v>5.8</v>
      </c>
      <c r="BI30" s="26"/>
      <c r="BJ30" s="26"/>
    </row>
    <row r="31" spans="1:62" ht="30.75" customHeight="1">
      <c r="A31" s="94"/>
      <c r="B31" s="99" t="s">
        <v>831</v>
      </c>
      <c r="C31" s="254" t="s">
        <v>494</v>
      </c>
      <c r="D31" s="106" t="s">
        <v>9</v>
      </c>
      <c r="E31" s="106" t="s">
        <v>832</v>
      </c>
      <c r="F31" s="106" t="s">
        <v>38</v>
      </c>
      <c r="G31" s="304"/>
      <c r="H31" s="291"/>
      <c r="I31" s="291"/>
      <c r="J31" s="213">
        <v>390</v>
      </c>
      <c r="K31" s="213">
        <f>390-390</f>
        <v>0</v>
      </c>
      <c r="L31" s="213">
        <v>0</v>
      </c>
      <c r="M31" s="213">
        <v>0</v>
      </c>
      <c r="BI31" s="26"/>
      <c r="BJ31" s="26"/>
    </row>
    <row r="32" spans="1:62" ht="33.75" customHeight="1">
      <c r="A32" s="94"/>
      <c r="B32" s="99" t="s">
        <v>834</v>
      </c>
      <c r="C32" s="254" t="s">
        <v>494</v>
      </c>
      <c r="D32" s="106" t="s">
        <v>9</v>
      </c>
      <c r="E32" s="106" t="s">
        <v>833</v>
      </c>
      <c r="F32" s="106" t="s">
        <v>38</v>
      </c>
      <c r="G32" s="305"/>
      <c r="H32" s="292"/>
      <c r="I32" s="292"/>
      <c r="J32" s="213">
        <f>69.57+273.65238</f>
        <v>343.22238</v>
      </c>
      <c r="K32" s="213">
        <f>69.57+273.65238</f>
        <v>343.22238</v>
      </c>
      <c r="L32" s="213">
        <v>0</v>
      </c>
      <c r="M32" s="213">
        <v>0</v>
      </c>
      <c r="BI32" s="26"/>
      <c r="BJ32" s="26"/>
    </row>
    <row r="33" spans="1:62" ht="62.25" customHeight="1">
      <c r="A33" s="57"/>
      <c r="B33" s="7" t="s">
        <v>785</v>
      </c>
      <c r="C33" s="180" t="s">
        <v>494</v>
      </c>
      <c r="D33" s="106" t="s">
        <v>9</v>
      </c>
      <c r="E33" s="106" t="s">
        <v>784</v>
      </c>
      <c r="F33" s="106" t="s">
        <v>38</v>
      </c>
      <c r="G33" s="202" t="s">
        <v>743</v>
      </c>
      <c r="H33" s="1" t="s">
        <v>44</v>
      </c>
      <c r="I33" s="1" t="s">
        <v>445</v>
      </c>
      <c r="J33" s="213">
        <f>467.8+495.39203+504+66-429.7-18.8</f>
        <v>1084.69203</v>
      </c>
      <c r="K33" s="213">
        <f>467.8+495.39203+504+66-429.7-18.8</f>
        <v>1084.69203</v>
      </c>
      <c r="L33" s="213">
        <v>0</v>
      </c>
      <c r="M33" s="213">
        <v>308</v>
      </c>
      <c r="BI33" s="26"/>
      <c r="BJ33" s="26"/>
    </row>
    <row r="34" spans="1:62" ht="30" customHeight="1">
      <c r="A34" s="2"/>
      <c r="B34" s="11" t="s">
        <v>501</v>
      </c>
      <c r="C34" s="2"/>
      <c r="D34" s="10"/>
      <c r="E34" s="10" t="s">
        <v>72</v>
      </c>
      <c r="F34" s="10"/>
      <c r="G34" s="104"/>
      <c r="H34" s="10"/>
      <c r="I34" s="10"/>
      <c r="J34" s="277">
        <f>J36+J37+J39+J38+J35</f>
        <v>1348.1</v>
      </c>
      <c r="K34" s="277">
        <f>K36+K37+K39+K38+K35</f>
        <v>1348.1</v>
      </c>
      <c r="L34" s="277">
        <f>L36+L37+L39+L38+L35</f>
        <v>2302.0280000000002</v>
      </c>
      <c r="M34" s="277">
        <f>M36+M37+M39+M38+M35</f>
        <v>2557.9742</v>
      </c>
      <c r="BI34" s="26"/>
      <c r="BJ34" s="26"/>
    </row>
    <row r="35" spans="1:62" ht="19.5" customHeight="1">
      <c r="A35" s="290"/>
      <c r="B35" s="309" t="s">
        <v>191</v>
      </c>
      <c r="C35" s="261" t="s">
        <v>494</v>
      </c>
      <c r="D35" s="106" t="s">
        <v>9</v>
      </c>
      <c r="E35" s="106" t="s">
        <v>192</v>
      </c>
      <c r="F35" s="106" t="s">
        <v>38</v>
      </c>
      <c r="G35" s="303" t="s">
        <v>743</v>
      </c>
      <c r="H35" s="290" t="s">
        <v>44</v>
      </c>
      <c r="I35" s="290" t="s">
        <v>445</v>
      </c>
      <c r="J35" s="277">
        <v>29</v>
      </c>
      <c r="K35" s="277">
        <v>29</v>
      </c>
      <c r="L35" s="213">
        <v>0</v>
      </c>
      <c r="M35" s="213">
        <v>0</v>
      </c>
      <c r="BI35" s="26"/>
      <c r="BJ35" s="26"/>
    </row>
    <row r="36" spans="1:62" ht="19.5" customHeight="1">
      <c r="A36" s="292"/>
      <c r="B36" s="310"/>
      <c r="C36" s="180" t="s">
        <v>494</v>
      </c>
      <c r="D36" s="106" t="s">
        <v>8</v>
      </c>
      <c r="E36" s="106" t="s">
        <v>192</v>
      </c>
      <c r="F36" s="106" t="s">
        <v>38</v>
      </c>
      <c r="G36" s="304"/>
      <c r="H36" s="291"/>
      <c r="I36" s="291"/>
      <c r="J36" s="277">
        <f>541.5+130+35</f>
        <v>706.5</v>
      </c>
      <c r="K36" s="277">
        <f>541.5+130+35</f>
        <v>706.5</v>
      </c>
      <c r="L36" s="213">
        <v>0</v>
      </c>
      <c r="M36" s="213">
        <v>0</v>
      </c>
      <c r="BI36" s="26"/>
      <c r="BJ36" s="26"/>
    </row>
    <row r="37" spans="1:62" ht="30.75" customHeight="1">
      <c r="A37" s="201"/>
      <c r="B37" s="11" t="s">
        <v>777</v>
      </c>
      <c r="C37" s="180" t="s">
        <v>494</v>
      </c>
      <c r="D37" s="106" t="s">
        <v>8</v>
      </c>
      <c r="E37" s="2" t="s">
        <v>194</v>
      </c>
      <c r="F37" s="106" t="s">
        <v>38</v>
      </c>
      <c r="G37" s="304"/>
      <c r="H37" s="291"/>
      <c r="I37" s="291"/>
      <c r="J37" s="277">
        <f>70.3+429.7</f>
        <v>500</v>
      </c>
      <c r="K37" s="277">
        <f>70.3+429.7</f>
        <v>500</v>
      </c>
      <c r="L37" s="213">
        <v>0</v>
      </c>
      <c r="M37" s="213">
        <v>0</v>
      </c>
      <c r="BI37" s="26"/>
      <c r="BJ37" s="26"/>
    </row>
    <row r="38" spans="1:62" ht="30" customHeight="1">
      <c r="A38" s="190"/>
      <c r="B38" s="99" t="s">
        <v>193</v>
      </c>
      <c r="C38" s="191" t="s">
        <v>494</v>
      </c>
      <c r="D38" s="106" t="s">
        <v>9</v>
      </c>
      <c r="E38" s="2" t="s">
        <v>194</v>
      </c>
      <c r="F38" s="106" t="s">
        <v>38</v>
      </c>
      <c r="G38" s="304"/>
      <c r="H38" s="291"/>
      <c r="I38" s="291"/>
      <c r="J38" s="213">
        <f>59.4+53.2</f>
        <v>112.6</v>
      </c>
      <c r="K38" s="213">
        <f>59.4+53.2</f>
        <v>112.6</v>
      </c>
      <c r="L38" s="277">
        <v>21.3</v>
      </c>
      <c r="M38" s="277">
        <v>55.4</v>
      </c>
      <c r="BI38" s="26"/>
      <c r="BJ38" s="26"/>
    </row>
    <row r="39" spans="1:62" ht="31.5" customHeight="1">
      <c r="A39" s="157"/>
      <c r="B39" s="7" t="s">
        <v>420</v>
      </c>
      <c r="C39" s="180" t="s">
        <v>494</v>
      </c>
      <c r="D39" s="106" t="s">
        <v>8</v>
      </c>
      <c r="E39" s="10" t="s">
        <v>421</v>
      </c>
      <c r="F39" s="157" t="s">
        <v>38</v>
      </c>
      <c r="G39" s="305"/>
      <c r="H39" s="292"/>
      <c r="I39" s="292"/>
      <c r="J39" s="213">
        <v>0</v>
      </c>
      <c r="K39" s="213">
        <v>0</v>
      </c>
      <c r="L39" s="277">
        <f>342.1+1938.628</f>
        <v>2280.728</v>
      </c>
      <c r="M39" s="277">
        <f>375.38613+2127.18807</f>
        <v>2502.5742</v>
      </c>
      <c r="BI39" s="26"/>
      <c r="BJ39" s="26"/>
    </row>
    <row r="40" spans="1:62" ht="45">
      <c r="A40" s="206"/>
      <c r="B40" s="12" t="s">
        <v>788</v>
      </c>
      <c r="C40" s="207"/>
      <c r="D40" s="106"/>
      <c r="E40" s="10" t="s">
        <v>68</v>
      </c>
      <c r="F40" s="10"/>
      <c r="G40" s="208"/>
      <c r="H40" s="2"/>
      <c r="I40" s="105"/>
      <c r="J40" s="213">
        <f>J41+J42</f>
        <v>456.48095</v>
      </c>
      <c r="K40" s="213">
        <f>K41+K42</f>
        <v>456.48095</v>
      </c>
      <c r="L40" s="213">
        <f>L41+L42</f>
        <v>0</v>
      </c>
      <c r="M40" s="213">
        <f>M41+M42</f>
        <v>0</v>
      </c>
      <c r="BI40" s="26"/>
      <c r="BJ40" s="26"/>
    </row>
    <row r="41" spans="1:62" ht="60">
      <c r="A41" s="206"/>
      <c r="B41" s="7" t="s">
        <v>825</v>
      </c>
      <c r="C41" s="207" t="s">
        <v>494</v>
      </c>
      <c r="D41" s="106" t="s">
        <v>9</v>
      </c>
      <c r="E41" s="10" t="s">
        <v>789</v>
      </c>
      <c r="F41" s="206" t="s">
        <v>787</v>
      </c>
      <c r="G41" s="202" t="s">
        <v>835</v>
      </c>
      <c r="H41" s="2" t="s">
        <v>311</v>
      </c>
      <c r="I41" s="105" t="s">
        <v>836</v>
      </c>
      <c r="J41" s="213">
        <f>107.28342+15.3+19-15.3+32.022+49.037+6+1.13853</f>
        <v>214.48095</v>
      </c>
      <c r="K41" s="213">
        <f>107.28342+15.3+19-15.3+32.022+49.037+6+1.13853</f>
        <v>214.48095</v>
      </c>
      <c r="L41" s="277">
        <v>0</v>
      </c>
      <c r="M41" s="277">
        <v>0</v>
      </c>
      <c r="BI41" s="26"/>
      <c r="BJ41" s="26"/>
    </row>
    <row r="42" spans="1:62" ht="62.25" customHeight="1">
      <c r="A42" s="229"/>
      <c r="B42" s="50" t="s">
        <v>790</v>
      </c>
      <c r="C42" s="230" t="s">
        <v>716</v>
      </c>
      <c r="D42" s="2" t="s">
        <v>11</v>
      </c>
      <c r="E42" s="2" t="s">
        <v>791</v>
      </c>
      <c r="F42" s="2" t="s">
        <v>264</v>
      </c>
      <c r="G42" s="126" t="s">
        <v>792</v>
      </c>
      <c r="H42" s="100" t="s">
        <v>793</v>
      </c>
      <c r="I42" s="228" t="s">
        <v>544</v>
      </c>
      <c r="J42" s="215">
        <f>630-388</f>
        <v>242</v>
      </c>
      <c r="K42" s="215">
        <f>630-388</f>
        <v>242</v>
      </c>
      <c r="L42" s="215">
        <v>0</v>
      </c>
      <c r="M42" s="216">
        <v>0</v>
      </c>
      <c r="BI42" s="26"/>
      <c r="BJ42" s="26"/>
    </row>
    <row r="43" spans="1:62" ht="75" customHeight="1">
      <c r="A43" s="83">
        <v>2505</v>
      </c>
      <c r="B43" s="82" t="s">
        <v>208</v>
      </c>
      <c r="C43" s="83"/>
      <c r="D43" s="83"/>
      <c r="E43" s="83"/>
      <c r="F43" s="83"/>
      <c r="G43" s="83"/>
      <c r="H43" s="83"/>
      <c r="I43" s="83"/>
      <c r="J43" s="212">
        <f>J44</f>
        <v>110429.53868</v>
      </c>
      <c r="K43" s="212">
        <f>K44</f>
        <v>97643.93867999999</v>
      </c>
      <c r="L43" s="212">
        <f>L44</f>
        <v>64842.23043</v>
      </c>
      <c r="M43" s="212">
        <f>M44</f>
        <v>26750.84</v>
      </c>
      <c r="BI43" s="26"/>
      <c r="BJ43" s="26"/>
    </row>
    <row r="44" spans="1:62" ht="30" customHeight="1">
      <c r="A44" s="100"/>
      <c r="B44" s="99" t="s">
        <v>210</v>
      </c>
      <c r="C44" s="4"/>
      <c r="D44" s="4"/>
      <c r="E44" s="100">
        <v>1100000000</v>
      </c>
      <c r="F44" s="100"/>
      <c r="G44" s="100"/>
      <c r="H44" s="100"/>
      <c r="I44" s="100"/>
      <c r="J44" s="213">
        <f>J45+J53+J65</f>
        <v>110429.53868</v>
      </c>
      <c r="K44" s="213">
        <f>K45+K53+K65</f>
        <v>97643.93867999999</v>
      </c>
      <c r="L44" s="213">
        <f>L45+L53+L65</f>
        <v>64842.23043</v>
      </c>
      <c r="M44" s="213">
        <f>M45+M53+M65</f>
        <v>26750.84</v>
      </c>
      <c r="BI44" s="26"/>
      <c r="BJ44" s="26"/>
    </row>
    <row r="45" spans="1:62" ht="30" customHeight="1">
      <c r="A45" s="100"/>
      <c r="B45" s="99" t="s">
        <v>209</v>
      </c>
      <c r="C45" s="4"/>
      <c r="D45" s="4"/>
      <c r="E45" s="100">
        <v>1110000000</v>
      </c>
      <c r="F45" s="100"/>
      <c r="G45" s="100"/>
      <c r="H45" s="100"/>
      <c r="I45" s="100"/>
      <c r="J45" s="213">
        <f>J46+J47+J48+J49+J52+J50+J51</f>
        <v>58094.244529999996</v>
      </c>
      <c r="K45" s="213">
        <f>K46+K47+K48+K49+K52+K50+K51</f>
        <v>45308.64453</v>
      </c>
      <c r="L45" s="213">
        <f>L46+L47+L48+L49+L52+L50+L51</f>
        <v>24362.66543</v>
      </c>
      <c r="M45" s="213">
        <f>M46+M47+M48+M49+M52+M50+M51</f>
        <v>4550</v>
      </c>
      <c r="BI45" s="26"/>
      <c r="BJ45" s="26"/>
    </row>
    <row r="46" spans="1:62" ht="30" customHeight="1">
      <c r="A46" s="100"/>
      <c r="B46" s="99" t="s">
        <v>518</v>
      </c>
      <c r="C46" s="4" t="s">
        <v>4</v>
      </c>
      <c r="D46" s="2" t="s">
        <v>211</v>
      </c>
      <c r="E46" s="100">
        <v>1110100010</v>
      </c>
      <c r="F46" s="100">
        <v>410</v>
      </c>
      <c r="G46" s="296" t="s">
        <v>854</v>
      </c>
      <c r="H46" s="293" t="s">
        <v>363</v>
      </c>
      <c r="I46" s="293" t="s">
        <v>855</v>
      </c>
      <c r="J46" s="213">
        <v>450</v>
      </c>
      <c r="K46" s="213">
        <v>450</v>
      </c>
      <c r="L46" s="213">
        <f>1050-900</f>
        <v>150</v>
      </c>
      <c r="M46" s="213">
        <v>4550</v>
      </c>
      <c r="BI46" s="26"/>
      <c r="BJ46" s="26"/>
    </row>
    <row r="47" spans="1:62" ht="15" customHeight="1">
      <c r="A47" s="157"/>
      <c r="B47" s="99" t="s">
        <v>519</v>
      </c>
      <c r="C47" s="4" t="s">
        <v>4</v>
      </c>
      <c r="D47" s="2" t="s">
        <v>211</v>
      </c>
      <c r="E47" s="100">
        <v>1110100020</v>
      </c>
      <c r="F47" s="157" t="s">
        <v>112</v>
      </c>
      <c r="G47" s="317"/>
      <c r="H47" s="295"/>
      <c r="I47" s="295"/>
      <c r="J47" s="213">
        <f>771.26-390-381.26</f>
        <v>0</v>
      </c>
      <c r="K47" s="213">
        <f>771.26-390-381.26</f>
        <v>0</v>
      </c>
      <c r="L47" s="213">
        <v>0</v>
      </c>
      <c r="M47" s="213">
        <v>0</v>
      </c>
      <c r="BI47" s="26"/>
      <c r="BJ47" s="26"/>
    </row>
    <row r="48" spans="1:62" ht="75" customHeight="1">
      <c r="A48" s="157"/>
      <c r="B48" s="99" t="s">
        <v>334</v>
      </c>
      <c r="C48" s="4" t="s">
        <v>4</v>
      </c>
      <c r="D48" s="2" t="s">
        <v>211</v>
      </c>
      <c r="E48" s="10" t="s">
        <v>336</v>
      </c>
      <c r="F48" s="157" t="s">
        <v>112</v>
      </c>
      <c r="G48" s="317"/>
      <c r="H48" s="295"/>
      <c r="I48" s="295"/>
      <c r="J48" s="213">
        <f>3196.4+9589.2</f>
        <v>12785.6</v>
      </c>
      <c r="K48" s="213">
        <v>0</v>
      </c>
      <c r="L48" s="213">
        <v>0</v>
      </c>
      <c r="M48" s="213">
        <v>0</v>
      </c>
      <c r="BI48" s="26"/>
      <c r="BJ48" s="26"/>
    </row>
    <row r="49" spans="1:62" ht="23.25" customHeight="1">
      <c r="A49" s="157"/>
      <c r="B49" s="280" t="s">
        <v>335</v>
      </c>
      <c r="C49" s="4" t="s">
        <v>4</v>
      </c>
      <c r="D49" s="2" t="s">
        <v>211</v>
      </c>
      <c r="E49" s="10" t="s">
        <v>337</v>
      </c>
      <c r="F49" s="157" t="s">
        <v>112</v>
      </c>
      <c r="G49" s="317"/>
      <c r="H49" s="295"/>
      <c r="I49" s="295"/>
      <c r="J49" s="213">
        <f>18853.60173+9037.8+6586.66274-18075.6-1603.79533</f>
        <v>14798.669139999998</v>
      </c>
      <c r="K49" s="213">
        <f>18853.60173+9037.8+6586.66274-18075.6-1603.79533</f>
        <v>14798.669139999998</v>
      </c>
      <c r="L49" s="213">
        <f>21133.5+21133.5-42267</f>
        <v>0</v>
      </c>
      <c r="M49" s="213">
        <v>0</v>
      </c>
      <c r="BI49" s="26"/>
      <c r="BJ49" s="26"/>
    </row>
    <row r="50" spans="1:62" ht="23.25" customHeight="1">
      <c r="A50" s="253"/>
      <c r="B50" s="281"/>
      <c r="C50" s="4" t="s">
        <v>494</v>
      </c>
      <c r="D50" s="2" t="s">
        <v>211</v>
      </c>
      <c r="E50" s="10" t="s">
        <v>337</v>
      </c>
      <c r="F50" s="253" t="s">
        <v>112</v>
      </c>
      <c r="G50" s="317"/>
      <c r="H50" s="295"/>
      <c r="I50" s="295"/>
      <c r="J50" s="213">
        <v>3000</v>
      </c>
      <c r="K50" s="213">
        <v>3000</v>
      </c>
      <c r="L50" s="213">
        <f>27191.4-9209.84576-175.165</f>
        <v>17806.38924</v>
      </c>
      <c r="M50" s="213">
        <v>0</v>
      </c>
      <c r="BI50" s="26"/>
      <c r="BJ50" s="26"/>
    </row>
    <row r="51" spans="1:62" ht="30" customHeight="1">
      <c r="A51" s="256"/>
      <c r="B51" s="312"/>
      <c r="C51" s="4" t="s">
        <v>425</v>
      </c>
      <c r="D51" s="2" t="s">
        <v>211</v>
      </c>
      <c r="E51" s="10" t="s">
        <v>337</v>
      </c>
      <c r="F51" s="256" t="s">
        <v>112</v>
      </c>
      <c r="G51" s="317"/>
      <c r="H51" s="295"/>
      <c r="I51" s="295"/>
      <c r="J51" s="213">
        <v>15075.6</v>
      </c>
      <c r="K51" s="213">
        <v>15075.6</v>
      </c>
      <c r="L51" s="213">
        <f>15075.6-8669.32381</f>
        <v>6406.2761900000005</v>
      </c>
      <c r="M51" s="213">
        <v>0</v>
      </c>
      <c r="BI51" s="26"/>
      <c r="BJ51" s="26"/>
    </row>
    <row r="52" spans="1:62" ht="30.75" customHeight="1">
      <c r="A52" s="198"/>
      <c r="B52" s="99" t="s">
        <v>771</v>
      </c>
      <c r="C52" s="4" t="s">
        <v>4</v>
      </c>
      <c r="D52" s="2" t="s">
        <v>211</v>
      </c>
      <c r="E52" s="199" t="s">
        <v>772</v>
      </c>
      <c r="F52" s="198" t="s">
        <v>112</v>
      </c>
      <c r="G52" s="317"/>
      <c r="H52" s="295"/>
      <c r="I52" s="295"/>
      <c r="J52" s="213">
        <f>2747.99476+9547.2838-310.90317</f>
        <v>11984.37539</v>
      </c>
      <c r="K52" s="213">
        <f>2747.99476+9547.2838-310.90317</f>
        <v>11984.37539</v>
      </c>
      <c r="L52" s="213">
        <v>0</v>
      </c>
      <c r="M52" s="213">
        <v>0</v>
      </c>
      <c r="BI52" s="26"/>
      <c r="BJ52" s="26"/>
    </row>
    <row r="53" spans="1:62" ht="30" customHeight="1">
      <c r="A53" s="100"/>
      <c r="B53" s="99" t="s">
        <v>212</v>
      </c>
      <c r="C53" s="4"/>
      <c r="D53" s="2"/>
      <c r="E53" s="100">
        <v>1120000000</v>
      </c>
      <c r="F53" s="100"/>
      <c r="G53" s="317"/>
      <c r="H53" s="295"/>
      <c r="I53" s="295"/>
      <c r="J53" s="213">
        <f>SUM(J54:J64)</f>
        <v>25794.343780000003</v>
      </c>
      <c r="K53" s="213">
        <f>SUM(K54:K64)</f>
        <v>25794.343780000003</v>
      </c>
      <c r="L53" s="213">
        <f>SUM(L54:L64)</f>
        <v>40479.565</v>
      </c>
      <c r="M53" s="213">
        <f>SUM(M54:M64)</f>
        <v>22200.84</v>
      </c>
      <c r="BI53" s="26"/>
      <c r="BJ53" s="26"/>
    </row>
    <row r="54" spans="1:62" ht="30" customHeight="1">
      <c r="A54" s="197"/>
      <c r="B54" s="196" t="s">
        <v>769</v>
      </c>
      <c r="C54" s="4" t="s">
        <v>4</v>
      </c>
      <c r="D54" s="1" t="s">
        <v>211</v>
      </c>
      <c r="E54" s="107">
        <v>1120100010</v>
      </c>
      <c r="F54" s="100">
        <v>410</v>
      </c>
      <c r="G54" s="317"/>
      <c r="H54" s="295"/>
      <c r="I54" s="295"/>
      <c r="J54" s="213">
        <v>136.5</v>
      </c>
      <c r="K54" s="213">
        <v>136.5</v>
      </c>
      <c r="L54" s="213">
        <v>0</v>
      </c>
      <c r="M54" s="213">
        <v>0</v>
      </c>
      <c r="BI54" s="26"/>
      <c r="BJ54" s="26"/>
    </row>
    <row r="55" spans="1:62" ht="21.75" customHeight="1">
      <c r="A55" s="159"/>
      <c r="B55" s="330" t="s">
        <v>213</v>
      </c>
      <c r="C55" s="4" t="s">
        <v>4</v>
      </c>
      <c r="D55" s="1" t="s">
        <v>211</v>
      </c>
      <c r="E55" s="107">
        <v>1120100020</v>
      </c>
      <c r="F55" s="100">
        <v>240</v>
      </c>
      <c r="G55" s="317"/>
      <c r="H55" s="295"/>
      <c r="I55" s="295"/>
      <c r="J55" s="213">
        <f>271.88728+2370-948-271.88728+4320+40</f>
        <v>5782</v>
      </c>
      <c r="K55" s="213">
        <f>271.88728+2370-948-271.88728+4320+40</f>
        <v>5782</v>
      </c>
      <c r="L55" s="213">
        <v>1004.4</v>
      </c>
      <c r="M55" s="213">
        <v>0</v>
      </c>
      <c r="BI55" s="26"/>
      <c r="BJ55" s="26"/>
    </row>
    <row r="56" spans="1:62" ht="21.75" customHeight="1">
      <c r="A56" s="252"/>
      <c r="B56" s="349"/>
      <c r="C56" s="4" t="s">
        <v>494</v>
      </c>
      <c r="D56" s="1" t="s">
        <v>211</v>
      </c>
      <c r="E56" s="107">
        <v>1120100020</v>
      </c>
      <c r="F56" s="100">
        <v>240</v>
      </c>
      <c r="G56" s="317"/>
      <c r="H56" s="295"/>
      <c r="I56" s="295"/>
      <c r="J56" s="213">
        <v>474</v>
      </c>
      <c r="K56" s="213">
        <v>474</v>
      </c>
      <c r="L56" s="213">
        <v>0</v>
      </c>
      <c r="M56" s="213">
        <v>0</v>
      </c>
      <c r="BI56" s="26"/>
      <c r="BJ56" s="26"/>
    </row>
    <row r="57" spans="1:62" ht="30" customHeight="1">
      <c r="A57" s="255"/>
      <c r="B57" s="349"/>
      <c r="C57" s="4" t="s">
        <v>425</v>
      </c>
      <c r="D57" s="1" t="s">
        <v>211</v>
      </c>
      <c r="E57" s="107">
        <v>1120100020</v>
      </c>
      <c r="F57" s="100">
        <v>240</v>
      </c>
      <c r="G57" s="317"/>
      <c r="H57" s="295"/>
      <c r="I57" s="295"/>
      <c r="J57" s="213">
        <v>474</v>
      </c>
      <c r="K57" s="213">
        <v>474</v>
      </c>
      <c r="L57" s="213">
        <v>0</v>
      </c>
      <c r="M57" s="213">
        <v>0</v>
      </c>
      <c r="BI57" s="26"/>
      <c r="BJ57" s="26"/>
    </row>
    <row r="58" spans="1:62" ht="21.75" customHeight="1">
      <c r="A58" s="249"/>
      <c r="B58" s="308"/>
      <c r="C58" s="4" t="s">
        <v>4</v>
      </c>
      <c r="D58" s="1" t="s">
        <v>211</v>
      </c>
      <c r="E58" s="107">
        <v>1120100020</v>
      </c>
      <c r="F58" s="100">
        <v>410</v>
      </c>
      <c r="G58" s="317"/>
      <c r="H58" s="295"/>
      <c r="I58" s="295"/>
      <c r="J58" s="213">
        <v>0</v>
      </c>
      <c r="K58" s="213">
        <v>0</v>
      </c>
      <c r="L58" s="213">
        <v>0</v>
      </c>
      <c r="M58" s="213">
        <v>7858.8</v>
      </c>
      <c r="BI58" s="26"/>
      <c r="BJ58" s="26"/>
    </row>
    <row r="59" spans="1:62" ht="32.25" customHeight="1">
      <c r="A59" s="195"/>
      <c r="B59" s="110" t="s">
        <v>770</v>
      </c>
      <c r="C59" s="4" t="s">
        <v>4</v>
      </c>
      <c r="D59" s="1" t="s">
        <v>211</v>
      </c>
      <c r="E59" s="107">
        <v>1120100020</v>
      </c>
      <c r="F59" s="100">
        <v>810</v>
      </c>
      <c r="G59" s="317"/>
      <c r="H59" s="295"/>
      <c r="I59" s="295"/>
      <c r="J59" s="213">
        <f>200.508+208.61088-200.59591+501.018</f>
        <v>709.54097</v>
      </c>
      <c r="K59" s="213">
        <f>200.508+208.61088-200.59591+501.018</f>
        <v>709.54097</v>
      </c>
      <c r="L59" s="213">
        <v>0</v>
      </c>
      <c r="M59" s="213">
        <v>0</v>
      </c>
      <c r="BI59" s="26"/>
      <c r="BJ59" s="26"/>
    </row>
    <row r="60" spans="1:62" ht="32.25" customHeight="1">
      <c r="A60" s="248"/>
      <c r="B60" s="110" t="s">
        <v>824</v>
      </c>
      <c r="C60" s="4" t="s">
        <v>4</v>
      </c>
      <c r="D60" s="1" t="s">
        <v>211</v>
      </c>
      <c r="E60" s="107">
        <v>1120100030</v>
      </c>
      <c r="F60" s="100">
        <v>810</v>
      </c>
      <c r="G60" s="317"/>
      <c r="H60" s="295"/>
      <c r="I60" s="295"/>
      <c r="J60" s="213">
        <v>1913.97512</v>
      </c>
      <c r="K60" s="213">
        <v>1913.97512</v>
      </c>
      <c r="L60" s="213">
        <v>0</v>
      </c>
      <c r="M60" s="213">
        <v>0</v>
      </c>
      <c r="BI60" s="26"/>
      <c r="BJ60" s="26"/>
    </row>
    <row r="61" spans="1:62" ht="80.25" customHeight="1">
      <c r="A61" s="265"/>
      <c r="B61" s="7" t="s">
        <v>1000</v>
      </c>
      <c r="C61" s="4" t="s">
        <v>4</v>
      </c>
      <c r="D61" s="2" t="s">
        <v>211</v>
      </c>
      <c r="E61" s="4" t="s">
        <v>1001</v>
      </c>
      <c r="F61" s="100">
        <v>410</v>
      </c>
      <c r="G61" s="317"/>
      <c r="H61" s="295"/>
      <c r="I61" s="295"/>
      <c r="J61" s="213">
        <v>0</v>
      </c>
      <c r="K61" s="213">
        <v>0</v>
      </c>
      <c r="L61" s="213">
        <v>24800</v>
      </c>
      <c r="M61" s="213">
        <f>2910.51+8731.53</f>
        <v>11642.04</v>
      </c>
      <c r="BI61" s="26"/>
      <c r="BJ61" s="26"/>
    </row>
    <row r="62" spans="1:62" ht="50.25" customHeight="1">
      <c r="A62" s="107"/>
      <c r="B62" s="115" t="s">
        <v>338</v>
      </c>
      <c r="C62" s="4" t="s">
        <v>4</v>
      </c>
      <c r="D62" s="2" t="s">
        <v>211</v>
      </c>
      <c r="E62" s="4" t="s">
        <v>339</v>
      </c>
      <c r="F62" s="100">
        <v>240</v>
      </c>
      <c r="G62" s="317"/>
      <c r="H62" s="295"/>
      <c r="I62" s="295"/>
      <c r="J62" s="213">
        <f>4000+4000+5238.125+3891.309+1176.0269-9129.434</f>
        <v>9176.026900000003</v>
      </c>
      <c r="K62" s="213">
        <f>4000+4000+5238.125+3891.309+1176.0269-9129.434</f>
        <v>9176.026900000003</v>
      </c>
      <c r="L62" s="213">
        <f>1550+1550+7900+175.165</f>
        <v>11175.165</v>
      </c>
      <c r="M62" s="213">
        <v>0</v>
      </c>
      <c r="BI62" s="26"/>
      <c r="BJ62" s="26"/>
    </row>
    <row r="63" spans="1:62" ht="66.75" customHeight="1">
      <c r="A63" s="107"/>
      <c r="B63" s="7" t="s">
        <v>709</v>
      </c>
      <c r="C63" s="4" t="s">
        <v>4</v>
      </c>
      <c r="D63" s="105" t="s">
        <v>211</v>
      </c>
      <c r="E63" s="100" t="s">
        <v>746</v>
      </c>
      <c r="F63" s="100">
        <v>240</v>
      </c>
      <c r="G63" s="296" t="s">
        <v>858</v>
      </c>
      <c r="H63" s="293" t="s">
        <v>856</v>
      </c>
      <c r="I63" s="293" t="s">
        <v>852</v>
      </c>
      <c r="J63" s="213">
        <v>7128.30079</v>
      </c>
      <c r="K63" s="213">
        <v>7128.30079</v>
      </c>
      <c r="L63" s="213">
        <v>0</v>
      </c>
      <c r="M63" s="213">
        <v>0</v>
      </c>
      <c r="BI63" s="26"/>
      <c r="BJ63" s="26"/>
    </row>
    <row r="64" spans="1:62" ht="114" customHeight="1">
      <c r="A64" s="107"/>
      <c r="B64" s="95" t="s">
        <v>712</v>
      </c>
      <c r="C64" s="4" t="s">
        <v>4</v>
      </c>
      <c r="D64" s="105" t="s">
        <v>211</v>
      </c>
      <c r="E64" s="100" t="s">
        <v>747</v>
      </c>
      <c r="F64" s="100">
        <v>240</v>
      </c>
      <c r="G64" s="297"/>
      <c r="H64" s="294"/>
      <c r="I64" s="294"/>
      <c r="J64" s="213">
        <v>0</v>
      </c>
      <c r="K64" s="213">
        <v>0</v>
      </c>
      <c r="L64" s="213">
        <f>175+3325</f>
        <v>3500</v>
      </c>
      <c r="M64" s="213">
        <f>135+2565</f>
        <v>2700</v>
      </c>
      <c r="BI64" s="26"/>
      <c r="BJ64" s="26"/>
    </row>
    <row r="65" spans="1:62" ht="30" customHeight="1">
      <c r="A65" s="4"/>
      <c r="B65" s="99" t="s">
        <v>214</v>
      </c>
      <c r="C65" s="4"/>
      <c r="D65" s="2"/>
      <c r="E65" s="100">
        <v>1130000000</v>
      </c>
      <c r="F65" s="100"/>
      <c r="G65" s="149"/>
      <c r="H65" s="95"/>
      <c r="I65" s="95"/>
      <c r="J65" s="213">
        <f>J66+J67</f>
        <v>26540.95037</v>
      </c>
      <c r="K65" s="213">
        <f>K66+K67</f>
        <v>26540.95037</v>
      </c>
      <c r="L65" s="213">
        <f>L66+L67</f>
        <v>0</v>
      </c>
      <c r="M65" s="213">
        <f>M66+M67</f>
        <v>0</v>
      </c>
      <c r="BI65" s="26"/>
      <c r="BJ65" s="26"/>
    </row>
    <row r="66" spans="1:62" ht="106.5" customHeight="1">
      <c r="A66" s="157"/>
      <c r="B66" s="99" t="s">
        <v>215</v>
      </c>
      <c r="C66" s="4" t="s">
        <v>4</v>
      </c>
      <c r="D66" s="2" t="s">
        <v>211</v>
      </c>
      <c r="E66" s="100">
        <v>1130100020</v>
      </c>
      <c r="F66" s="100">
        <v>810</v>
      </c>
      <c r="G66" s="126" t="s">
        <v>742</v>
      </c>
      <c r="H66" s="100" t="s">
        <v>520</v>
      </c>
      <c r="I66" s="100" t="s">
        <v>857</v>
      </c>
      <c r="J66" s="213">
        <f>7000-664.79926+6909.76461</f>
        <v>13244.96535</v>
      </c>
      <c r="K66" s="213">
        <f>7000-664.79926+6909.76461</f>
        <v>13244.96535</v>
      </c>
      <c r="L66" s="213">
        <v>0</v>
      </c>
      <c r="M66" s="213">
        <v>0</v>
      </c>
      <c r="BI66" s="26"/>
      <c r="BJ66" s="26"/>
    </row>
    <row r="67" spans="1:62" ht="137.25" customHeight="1">
      <c r="A67" s="157"/>
      <c r="B67" s="99" t="s">
        <v>422</v>
      </c>
      <c r="C67" s="4" t="s">
        <v>4</v>
      </c>
      <c r="D67" s="2" t="s">
        <v>211</v>
      </c>
      <c r="E67" s="100" t="s">
        <v>423</v>
      </c>
      <c r="F67" s="100">
        <v>810</v>
      </c>
      <c r="G67" s="126" t="s">
        <v>859</v>
      </c>
      <c r="H67" s="100" t="s">
        <v>520</v>
      </c>
      <c r="I67" s="100" t="s">
        <v>860</v>
      </c>
      <c r="J67" s="213">
        <f>2500-2500+664.79926+12631.18576</f>
        <v>13295.98502</v>
      </c>
      <c r="K67" s="213">
        <f>2500-2500+664.79926+12631.18576</f>
        <v>13295.98502</v>
      </c>
      <c r="L67" s="213">
        <v>0</v>
      </c>
      <c r="M67" s="213">
        <v>0</v>
      </c>
      <c r="BI67" s="26"/>
      <c r="BJ67" s="26"/>
    </row>
    <row r="68" spans="1:13" ht="195" customHeight="1">
      <c r="A68" s="78" t="s">
        <v>152</v>
      </c>
      <c r="B68" s="82" t="s">
        <v>151</v>
      </c>
      <c r="C68" s="83"/>
      <c r="D68" s="80"/>
      <c r="E68" s="80"/>
      <c r="F68" s="78"/>
      <c r="G68" s="84"/>
      <c r="H68" s="85"/>
      <c r="I68" s="85"/>
      <c r="J68" s="212">
        <f>J70+J73</f>
        <v>184050.11826999998</v>
      </c>
      <c r="K68" s="212">
        <f>K70+K73</f>
        <v>184050.11826999998</v>
      </c>
      <c r="L68" s="212">
        <f>L70+L73</f>
        <v>120471.122</v>
      </c>
      <c r="M68" s="212">
        <f>M70+M73</f>
        <v>95401.8</v>
      </c>
    </row>
    <row r="69" spans="1:13" ht="30" customHeight="1">
      <c r="A69" s="2"/>
      <c r="B69" s="11" t="s">
        <v>196</v>
      </c>
      <c r="C69" s="4"/>
      <c r="D69" s="2"/>
      <c r="E69" s="2" t="s">
        <v>67</v>
      </c>
      <c r="F69" s="2"/>
      <c r="G69" s="3"/>
      <c r="H69" s="5"/>
      <c r="I69" s="5"/>
      <c r="J69" s="213">
        <f>J70+J73</f>
        <v>184050.11826999998</v>
      </c>
      <c r="K69" s="213">
        <f>K70+K73</f>
        <v>184050.11826999998</v>
      </c>
      <c r="L69" s="213">
        <f>L70+L73</f>
        <v>120471.122</v>
      </c>
      <c r="M69" s="213">
        <f>M70+M73</f>
        <v>95401.8</v>
      </c>
    </row>
    <row r="70" spans="1:13" ht="45" customHeight="1">
      <c r="A70" s="2"/>
      <c r="B70" s="11" t="s">
        <v>195</v>
      </c>
      <c r="C70" s="4"/>
      <c r="D70" s="2"/>
      <c r="E70" s="2" t="s">
        <v>65</v>
      </c>
      <c r="F70" s="2"/>
      <c r="G70" s="9"/>
      <c r="H70" s="4"/>
      <c r="I70" s="5"/>
      <c r="J70" s="213">
        <f>J72+J71</f>
        <v>131740.31806</v>
      </c>
      <c r="K70" s="213">
        <f>K72+K71</f>
        <v>131740.31806</v>
      </c>
      <c r="L70" s="213">
        <f>L72+L71</f>
        <v>64877.22224</v>
      </c>
      <c r="M70" s="213">
        <f>M72+M71</f>
        <v>39262</v>
      </c>
    </row>
    <row r="71" spans="1:13" ht="23.25" customHeight="1">
      <c r="A71" s="2"/>
      <c r="B71" s="51" t="s">
        <v>197</v>
      </c>
      <c r="C71" s="52" t="s">
        <v>4</v>
      </c>
      <c r="D71" s="2" t="s">
        <v>10</v>
      </c>
      <c r="E71" s="2" t="s">
        <v>437</v>
      </c>
      <c r="F71" s="2" t="s">
        <v>38</v>
      </c>
      <c r="G71" s="296" t="s">
        <v>538</v>
      </c>
      <c r="H71" s="293" t="s">
        <v>410</v>
      </c>
      <c r="I71" s="288" t="s">
        <v>861</v>
      </c>
      <c r="J71" s="213">
        <f>600-83.9+4862.9856-141.06428+191.99652-19.93069</f>
        <v>5410.08715</v>
      </c>
      <c r="K71" s="213">
        <f>600-83.9+4862.9856-141.06428+191.99652-19.93069</f>
        <v>5410.08715</v>
      </c>
      <c r="L71" s="213">
        <v>0</v>
      </c>
      <c r="M71" s="213">
        <v>0</v>
      </c>
    </row>
    <row r="72" spans="1:13" ht="68.25" customHeight="1">
      <c r="A72" s="48"/>
      <c r="B72" s="7" t="s">
        <v>436</v>
      </c>
      <c r="C72" s="52" t="s">
        <v>4</v>
      </c>
      <c r="D72" s="2" t="s">
        <v>10</v>
      </c>
      <c r="E72" s="2" t="s">
        <v>342</v>
      </c>
      <c r="F72" s="2" t="s">
        <v>38</v>
      </c>
      <c r="G72" s="297"/>
      <c r="H72" s="294"/>
      <c r="I72" s="311"/>
      <c r="J72" s="213">
        <f>6487.7+59144.4+83.9+0.00003-191.99652+6253.41963+54552.80777</f>
        <v>126330.23091</v>
      </c>
      <c r="K72" s="213">
        <f>6487.7+59144.4+83.9+0.00003-191.99652+6253.41963+54552.80777</f>
        <v>126330.23091</v>
      </c>
      <c r="L72" s="213">
        <f>6487.7+58389.5+22.23-22.20777+0.00001</f>
        <v>64877.22224</v>
      </c>
      <c r="M72" s="213">
        <f>6487.7+32774.3</f>
        <v>39262</v>
      </c>
    </row>
    <row r="73" spans="1:13" ht="60" customHeight="1">
      <c r="A73" s="2"/>
      <c r="B73" s="11" t="s">
        <v>198</v>
      </c>
      <c r="C73" s="4"/>
      <c r="D73" s="2"/>
      <c r="E73" s="2" t="s">
        <v>66</v>
      </c>
      <c r="F73" s="2"/>
      <c r="G73" s="9"/>
      <c r="H73" s="5"/>
      <c r="I73" s="5"/>
      <c r="J73" s="213">
        <f>J74+J75</f>
        <v>52309.800209999994</v>
      </c>
      <c r="K73" s="213">
        <f>K74+K75</f>
        <v>52309.800209999994</v>
      </c>
      <c r="L73" s="213">
        <f>L74+L75</f>
        <v>55593.89976</v>
      </c>
      <c r="M73" s="213">
        <f>M74+M75</f>
        <v>56139.8</v>
      </c>
    </row>
    <row r="74" spans="1:13" ht="66.75" customHeight="1">
      <c r="A74" s="290"/>
      <c r="B74" s="309" t="s">
        <v>49</v>
      </c>
      <c r="C74" s="52" t="s">
        <v>4</v>
      </c>
      <c r="D74" s="2" t="s">
        <v>10</v>
      </c>
      <c r="E74" s="2" t="s">
        <v>199</v>
      </c>
      <c r="F74" s="2" t="s">
        <v>38</v>
      </c>
      <c r="G74" s="296" t="s">
        <v>538</v>
      </c>
      <c r="H74" s="293" t="s">
        <v>410</v>
      </c>
      <c r="I74" s="288" t="s">
        <v>861</v>
      </c>
      <c r="J74" s="213">
        <f>53199.47176-4862.9856+722.7858+1398.45864-0.00003+140+623.63368+58.28856+50-3.06759+381.26+200.59591+51.30094+19.93069+327.05986</f>
        <v>52306.732619999995</v>
      </c>
      <c r="K74" s="213">
        <f>47468+4439.6+1291.87176-4862.9856+722.7858+1398.45864-0.00003+140+623.63368+58.28856+50-3.06759+381.26+200.59591+51.30094+19.93069+327.05986</f>
        <v>52306.732619999995</v>
      </c>
      <c r="L74" s="213">
        <f>48803.4+5453.9-22.23+22.20777+1336.622-0.00001</f>
        <v>55593.89976</v>
      </c>
      <c r="M74" s="213">
        <f>49134+7005.8</f>
        <v>56139.8</v>
      </c>
    </row>
    <row r="75" spans="1:13" ht="31.5" customHeight="1">
      <c r="A75" s="292"/>
      <c r="B75" s="310"/>
      <c r="C75" s="52" t="s">
        <v>4</v>
      </c>
      <c r="D75" s="2" t="s">
        <v>10</v>
      </c>
      <c r="E75" s="2" t="s">
        <v>199</v>
      </c>
      <c r="F75" s="2" t="s">
        <v>787</v>
      </c>
      <c r="G75" s="297"/>
      <c r="H75" s="294"/>
      <c r="I75" s="311"/>
      <c r="J75" s="213">
        <v>3.06759</v>
      </c>
      <c r="K75" s="213">
        <v>3.06759</v>
      </c>
      <c r="L75" s="213">
        <v>0</v>
      </c>
      <c r="M75" s="213">
        <v>0</v>
      </c>
    </row>
    <row r="76" spans="1:13" ht="135" customHeight="1">
      <c r="A76" s="78" t="s">
        <v>205</v>
      </c>
      <c r="B76" s="87" t="s">
        <v>206</v>
      </c>
      <c r="C76" s="78"/>
      <c r="D76" s="78"/>
      <c r="E76" s="78"/>
      <c r="F76" s="78"/>
      <c r="G76" s="78"/>
      <c r="H76" s="78"/>
      <c r="I76" s="78"/>
      <c r="J76" s="212">
        <f>J80+J77+J92+J84+J95</f>
        <v>258695.40774000002</v>
      </c>
      <c r="K76" s="212">
        <f>K80+K77+K92+K84+K95</f>
        <v>258695.40774000002</v>
      </c>
      <c r="L76" s="212">
        <f>L80+L77+L92+L84+L95</f>
        <v>273739.58411</v>
      </c>
      <c r="M76" s="212">
        <f>M80+M77+M92+M84+M95</f>
        <v>1790.0330000000001</v>
      </c>
    </row>
    <row r="77" spans="1:13" ht="30" customHeight="1">
      <c r="A77" s="2"/>
      <c r="B77" s="12" t="s">
        <v>249</v>
      </c>
      <c r="C77" s="2"/>
      <c r="D77" s="2"/>
      <c r="E77" s="2" t="s">
        <v>63</v>
      </c>
      <c r="F77" s="2"/>
      <c r="G77" s="2"/>
      <c r="H77" s="2"/>
      <c r="I77" s="2"/>
      <c r="J77" s="213">
        <f aca="true" t="shared" si="0" ref="J77:M78">J78</f>
        <v>953.5686400000002</v>
      </c>
      <c r="K77" s="213">
        <f t="shared" si="0"/>
        <v>953.5686400000002</v>
      </c>
      <c r="L77" s="213">
        <f t="shared" si="0"/>
        <v>1655.924</v>
      </c>
      <c r="M77" s="213">
        <f t="shared" si="0"/>
        <v>1628.333</v>
      </c>
    </row>
    <row r="78" spans="1:13" ht="30" customHeight="1">
      <c r="A78" s="2"/>
      <c r="B78" s="12" t="s">
        <v>250</v>
      </c>
      <c r="C78" s="2"/>
      <c r="D78" s="2"/>
      <c r="E78" s="2" t="s">
        <v>251</v>
      </c>
      <c r="F78" s="2"/>
      <c r="G78" s="2"/>
      <c r="H78" s="2"/>
      <c r="I78" s="2"/>
      <c r="J78" s="213">
        <f t="shared" si="0"/>
        <v>953.5686400000002</v>
      </c>
      <c r="K78" s="213">
        <f t="shared" si="0"/>
        <v>953.5686400000002</v>
      </c>
      <c r="L78" s="213">
        <f t="shared" si="0"/>
        <v>1655.924</v>
      </c>
      <c r="M78" s="213">
        <f t="shared" si="0"/>
        <v>1628.333</v>
      </c>
    </row>
    <row r="79" spans="1:13" ht="129.75" customHeight="1">
      <c r="A79" s="2"/>
      <c r="B79" s="12" t="s">
        <v>429</v>
      </c>
      <c r="C79" s="2" t="s">
        <v>427</v>
      </c>
      <c r="D79" s="2" t="s">
        <v>11</v>
      </c>
      <c r="E79" s="2" t="s">
        <v>428</v>
      </c>
      <c r="F79" s="2" t="s">
        <v>264</v>
      </c>
      <c r="G79" s="158" t="s">
        <v>863</v>
      </c>
      <c r="H79" s="2" t="s">
        <v>864</v>
      </c>
      <c r="I79" s="1" t="s">
        <v>862</v>
      </c>
      <c r="J79" s="277">
        <f>1000+471.496-165.953-351.97436</f>
        <v>953.5686400000002</v>
      </c>
      <c r="K79" s="277">
        <f>1000+471.496-165.953-351.97436</f>
        <v>953.5686400000002</v>
      </c>
      <c r="L79" s="277">
        <f>1000+655.924</f>
        <v>1655.924</v>
      </c>
      <c r="M79" s="277">
        <f>1000+628.333</f>
        <v>1628.333</v>
      </c>
    </row>
    <row r="80" spans="1:13" ht="45" customHeight="1">
      <c r="A80" s="2"/>
      <c r="B80" s="50" t="s">
        <v>182</v>
      </c>
      <c r="C80" s="52"/>
      <c r="D80" s="2"/>
      <c r="E80" s="2" t="s">
        <v>70</v>
      </c>
      <c r="F80" s="2"/>
      <c r="G80" s="9"/>
      <c r="H80" s="4"/>
      <c r="I80" s="5"/>
      <c r="J80" s="213">
        <f aca="true" t="shared" si="1" ref="J80:M81">J81</f>
        <v>2632.1212</v>
      </c>
      <c r="K80" s="213">
        <f t="shared" si="1"/>
        <v>2632.1212</v>
      </c>
      <c r="L80" s="213">
        <f t="shared" si="1"/>
        <v>161.7</v>
      </c>
      <c r="M80" s="213">
        <f t="shared" si="1"/>
        <v>161.7</v>
      </c>
    </row>
    <row r="81" spans="1:13" ht="30.75" customHeight="1">
      <c r="A81" s="290"/>
      <c r="B81" s="50" t="s">
        <v>495</v>
      </c>
      <c r="C81" s="52"/>
      <c r="D81" s="2"/>
      <c r="E81" s="2" t="s">
        <v>71</v>
      </c>
      <c r="F81" s="2"/>
      <c r="G81" s="151"/>
      <c r="H81" s="7"/>
      <c r="I81" s="23"/>
      <c r="J81" s="213">
        <f t="shared" si="1"/>
        <v>2632.1212</v>
      </c>
      <c r="K81" s="213">
        <f t="shared" si="1"/>
        <v>2632.1212</v>
      </c>
      <c r="L81" s="213">
        <f t="shared" si="1"/>
        <v>161.7</v>
      </c>
      <c r="M81" s="213">
        <f t="shared" si="1"/>
        <v>161.7</v>
      </c>
    </row>
    <row r="82" spans="1:13" ht="32.25" customHeight="1">
      <c r="A82" s="292"/>
      <c r="B82" s="148" t="s">
        <v>502</v>
      </c>
      <c r="C82" s="52"/>
      <c r="D82" s="2"/>
      <c r="E82" s="2" t="s">
        <v>503</v>
      </c>
      <c r="F82" s="2"/>
      <c r="G82" s="149"/>
      <c r="H82" s="95"/>
      <c r="I82" s="150"/>
      <c r="J82" s="214">
        <f>J83</f>
        <v>2632.1212</v>
      </c>
      <c r="K82" s="214">
        <f>K83</f>
        <v>2632.1212</v>
      </c>
      <c r="L82" s="214">
        <f>L83</f>
        <v>161.7</v>
      </c>
      <c r="M82" s="214">
        <f>M83</f>
        <v>161.7</v>
      </c>
    </row>
    <row r="83" spans="1:13" ht="66" customHeight="1">
      <c r="A83" s="2"/>
      <c r="B83" s="50" t="s">
        <v>504</v>
      </c>
      <c r="C83" s="52" t="s">
        <v>494</v>
      </c>
      <c r="D83" s="2" t="s">
        <v>207</v>
      </c>
      <c r="E83" s="2" t="s">
        <v>505</v>
      </c>
      <c r="F83" s="2" t="s">
        <v>38</v>
      </c>
      <c r="G83" s="98" t="s">
        <v>743</v>
      </c>
      <c r="H83" s="107" t="s">
        <v>44</v>
      </c>
      <c r="I83" s="96" t="s">
        <v>445</v>
      </c>
      <c r="J83" s="215">
        <f>661.7+1235.099+427.67+140.832+108.3192+58.501</f>
        <v>2632.1212</v>
      </c>
      <c r="K83" s="215">
        <f>161.7+500+1235.099+427.67+140.832+108.3192+58.501</f>
        <v>2632.1212</v>
      </c>
      <c r="L83" s="215">
        <v>161.7</v>
      </c>
      <c r="M83" s="215">
        <v>161.7</v>
      </c>
    </row>
    <row r="84" spans="1:13" ht="70.5" customHeight="1">
      <c r="A84" s="2"/>
      <c r="B84" s="50" t="s">
        <v>729</v>
      </c>
      <c r="C84" s="52"/>
      <c r="D84" s="2"/>
      <c r="E84" s="2" t="s">
        <v>730</v>
      </c>
      <c r="F84" s="2"/>
      <c r="G84" s="9"/>
      <c r="H84" s="4"/>
      <c r="I84" s="5"/>
      <c r="J84" s="213">
        <f>SUM(J85:J91)</f>
        <v>255082.5879</v>
      </c>
      <c r="K84" s="213">
        <f>SUM(K85:K91)</f>
        <v>255082.5879</v>
      </c>
      <c r="L84" s="213">
        <f>SUM(L85:L91)</f>
        <v>271921.96011</v>
      </c>
      <c r="M84" s="213">
        <f>SUM(M85:M91)</f>
        <v>0</v>
      </c>
    </row>
    <row r="85" spans="1:13" ht="15" customHeight="1">
      <c r="A85" s="290"/>
      <c r="B85" s="306" t="s">
        <v>731</v>
      </c>
      <c r="C85" s="183" t="s">
        <v>716</v>
      </c>
      <c r="D85" s="2" t="s">
        <v>207</v>
      </c>
      <c r="E85" s="2" t="s">
        <v>732</v>
      </c>
      <c r="F85" s="2" t="s">
        <v>112</v>
      </c>
      <c r="G85" s="296" t="s">
        <v>865</v>
      </c>
      <c r="H85" s="293" t="s">
        <v>735</v>
      </c>
      <c r="I85" s="288" t="s">
        <v>866</v>
      </c>
      <c r="J85" s="213">
        <f>35424.9-1100.63499+22.08287-1523.54337+203119.09522</f>
        <v>235941.89973</v>
      </c>
      <c r="K85" s="213">
        <f>35424.9-1100.63499+22.08287-1523.54337+203119.09522</f>
        <v>235941.89973</v>
      </c>
      <c r="L85" s="213">
        <f>173158.3-107083.72283+186302.71452</f>
        <v>252377.29168999998</v>
      </c>
      <c r="M85" s="217">
        <f>181643.1-34344.76494-147298.33506</f>
        <v>0</v>
      </c>
    </row>
    <row r="86" spans="1:13" ht="15" customHeight="1">
      <c r="A86" s="291"/>
      <c r="B86" s="307"/>
      <c r="C86" s="245" t="s">
        <v>716</v>
      </c>
      <c r="D86" s="2" t="s">
        <v>207</v>
      </c>
      <c r="E86" s="2" t="s">
        <v>732</v>
      </c>
      <c r="F86" s="2" t="s">
        <v>787</v>
      </c>
      <c r="G86" s="317"/>
      <c r="H86" s="295"/>
      <c r="I86" s="289"/>
      <c r="J86" s="213">
        <f>1083.19+894.1267+667.8329</f>
        <v>2645.1496</v>
      </c>
      <c r="K86" s="213">
        <f>1083.19+894.1267+667.8329</f>
        <v>2645.1496</v>
      </c>
      <c r="L86" s="213">
        <v>0</v>
      </c>
      <c r="M86" s="217">
        <v>0</v>
      </c>
    </row>
    <row r="87" spans="1:13" ht="15" customHeight="1">
      <c r="A87" s="292"/>
      <c r="B87" s="308"/>
      <c r="C87" s="245" t="s">
        <v>716</v>
      </c>
      <c r="D87" s="2" t="s">
        <v>207</v>
      </c>
      <c r="E87" s="2" t="s">
        <v>732</v>
      </c>
      <c r="F87" s="2" t="s">
        <v>39</v>
      </c>
      <c r="G87" s="317"/>
      <c r="H87" s="295"/>
      <c r="I87" s="289"/>
      <c r="J87" s="213">
        <f>8524.52166-22.08287+629.41667-667.8329+1197.45704</f>
        <v>9661.4796</v>
      </c>
      <c r="K87" s="213">
        <f>8524.52166-22.08287+629.41667-667.8329+1197.45704</f>
        <v>9661.4796</v>
      </c>
      <c r="L87" s="213">
        <v>0</v>
      </c>
      <c r="M87" s="217">
        <v>0</v>
      </c>
    </row>
    <row r="88" spans="1:13" ht="15.75" customHeight="1">
      <c r="A88" s="290"/>
      <c r="B88" s="306" t="s">
        <v>733</v>
      </c>
      <c r="C88" s="183" t="s">
        <v>716</v>
      </c>
      <c r="D88" s="2" t="s">
        <v>207</v>
      </c>
      <c r="E88" s="2" t="s">
        <v>734</v>
      </c>
      <c r="F88" s="2" t="s">
        <v>112</v>
      </c>
      <c r="G88" s="317"/>
      <c r="H88" s="295"/>
      <c r="I88" s="289"/>
      <c r="J88" s="215">
        <f>1819.9-1712.91775+1.16226+1619.37152+4428.82563</f>
        <v>6156.34166</v>
      </c>
      <c r="K88" s="215">
        <f>1819.9-1712.91775+1.16226+1619.37152+4428.82563</f>
        <v>6156.34166</v>
      </c>
      <c r="L88" s="215">
        <f>9113.6-5635.99067+16067.05909</f>
        <v>19544.66842</v>
      </c>
      <c r="M88" s="216">
        <f>9560.2-1807.65605-7752.54395</f>
        <v>0</v>
      </c>
    </row>
    <row r="89" spans="1:13" ht="15.75" customHeight="1">
      <c r="A89" s="291"/>
      <c r="B89" s="307"/>
      <c r="C89" s="245" t="s">
        <v>716</v>
      </c>
      <c r="D89" s="2" t="s">
        <v>207</v>
      </c>
      <c r="E89" s="2" t="s">
        <v>734</v>
      </c>
      <c r="F89" s="2" t="s">
        <v>787</v>
      </c>
      <c r="G89" s="329"/>
      <c r="H89" s="329"/>
      <c r="I89" s="329"/>
      <c r="J89" s="215">
        <f>57.01+47.0593+35.1491</f>
        <v>139.2184</v>
      </c>
      <c r="K89" s="215">
        <f>57.01+47.0593+35.1491</f>
        <v>139.2184</v>
      </c>
      <c r="L89" s="215">
        <v>0</v>
      </c>
      <c r="M89" s="216">
        <v>0</v>
      </c>
    </row>
    <row r="90" spans="1:13" ht="15.75" customHeight="1">
      <c r="A90" s="292"/>
      <c r="B90" s="308"/>
      <c r="C90" s="245" t="s">
        <v>716</v>
      </c>
      <c r="D90" s="2" t="s">
        <v>207</v>
      </c>
      <c r="E90" s="2" t="s">
        <v>734</v>
      </c>
      <c r="F90" s="2" t="s">
        <v>39</v>
      </c>
      <c r="G90" s="285"/>
      <c r="H90" s="285"/>
      <c r="I90" s="285"/>
      <c r="J90" s="215">
        <f>2148.21704-1.16226-1666.43082-35.1491+63.02405</f>
        <v>508.4989099999999</v>
      </c>
      <c r="K90" s="215">
        <f>2148.21704-1.16226-1666.43082-35.1491+63.02405</f>
        <v>508.4989099999999</v>
      </c>
      <c r="L90" s="215">
        <v>0</v>
      </c>
      <c r="M90" s="216">
        <v>0</v>
      </c>
    </row>
    <row r="91" spans="1:13" ht="60" customHeight="1">
      <c r="A91" s="2"/>
      <c r="B91" s="7" t="s">
        <v>998</v>
      </c>
      <c r="C91" s="266" t="s">
        <v>716</v>
      </c>
      <c r="D91" s="2" t="s">
        <v>207</v>
      </c>
      <c r="E91" s="268">
        <v>1500100010</v>
      </c>
      <c r="F91" s="2" t="s">
        <v>38</v>
      </c>
      <c r="G91" s="269" t="s">
        <v>999</v>
      </c>
      <c r="H91" s="184" t="s">
        <v>44</v>
      </c>
      <c r="I91" s="52" t="s">
        <v>186</v>
      </c>
      <c r="J91" s="215">
        <v>30</v>
      </c>
      <c r="K91" s="215">
        <v>30</v>
      </c>
      <c r="L91" s="215">
        <v>0</v>
      </c>
      <c r="M91" s="216">
        <v>0</v>
      </c>
    </row>
    <row r="92" spans="1:13" ht="30" customHeight="1">
      <c r="A92" s="2"/>
      <c r="B92" s="50" t="s">
        <v>524</v>
      </c>
      <c r="C92" s="52"/>
      <c r="D92" s="2"/>
      <c r="E92" s="2" t="s">
        <v>525</v>
      </c>
      <c r="F92" s="2"/>
      <c r="G92" s="126"/>
      <c r="H92" s="100"/>
      <c r="I92" s="143"/>
      <c r="J92" s="215">
        <f>J93</f>
        <v>5.684341886080802E-14</v>
      </c>
      <c r="K92" s="215">
        <f aca="true" t="shared" si="2" ref="K92:M93">K93</f>
        <v>5.684341886080802E-14</v>
      </c>
      <c r="L92" s="215">
        <f t="shared" si="2"/>
        <v>0</v>
      </c>
      <c r="M92" s="215">
        <f t="shared" si="2"/>
        <v>0</v>
      </c>
    </row>
    <row r="93" spans="1:13" ht="45" customHeight="1">
      <c r="A93" s="2"/>
      <c r="B93" s="50" t="s">
        <v>526</v>
      </c>
      <c r="C93" s="52"/>
      <c r="D93" s="2"/>
      <c r="E93" s="2" t="s">
        <v>527</v>
      </c>
      <c r="F93" s="2"/>
      <c r="G93" s="9"/>
      <c r="H93" s="100"/>
      <c r="I93" s="159"/>
      <c r="J93" s="215">
        <f>J94</f>
        <v>5.684341886080802E-14</v>
      </c>
      <c r="K93" s="215">
        <f t="shared" si="2"/>
        <v>5.684341886080802E-14</v>
      </c>
      <c r="L93" s="215">
        <f t="shared" si="2"/>
        <v>0</v>
      </c>
      <c r="M93" s="215">
        <f t="shared" si="2"/>
        <v>0</v>
      </c>
    </row>
    <row r="94" spans="1:13" ht="105" customHeight="1">
      <c r="A94" s="2"/>
      <c r="B94" s="50" t="s">
        <v>523</v>
      </c>
      <c r="C94" s="52" t="s">
        <v>4</v>
      </c>
      <c r="D94" s="2" t="s">
        <v>11</v>
      </c>
      <c r="E94" s="2" t="s">
        <v>528</v>
      </c>
      <c r="F94" s="2" t="s">
        <v>264</v>
      </c>
      <c r="G94" s="126" t="s">
        <v>867</v>
      </c>
      <c r="H94" s="100" t="s">
        <v>364</v>
      </c>
      <c r="I94" s="159" t="s">
        <v>539</v>
      </c>
      <c r="J94" s="215">
        <f>266.7+800.2-800.2-215.39906-51.30094</f>
        <v>5.684341886080802E-14</v>
      </c>
      <c r="K94" s="215">
        <f>266.7+800.2-800.2-215.39906-51.30094</f>
        <v>5.684341886080802E-14</v>
      </c>
      <c r="L94" s="215">
        <f>266.7-215.39906+153.9028-205.20374</f>
        <v>0</v>
      </c>
      <c r="M94" s="216">
        <v>0</v>
      </c>
    </row>
    <row r="95" spans="1:13" ht="46.5" customHeight="1">
      <c r="A95" s="2"/>
      <c r="B95" s="12" t="s">
        <v>788</v>
      </c>
      <c r="C95" s="261"/>
      <c r="D95" s="106"/>
      <c r="E95" s="10" t="s">
        <v>68</v>
      </c>
      <c r="F95" s="2"/>
      <c r="G95" s="126"/>
      <c r="H95" s="100"/>
      <c r="I95" s="106"/>
      <c r="J95" s="215">
        <f>J96</f>
        <v>27.13000000000001</v>
      </c>
      <c r="K95" s="215">
        <f>K96</f>
        <v>27.13000000000001</v>
      </c>
      <c r="L95" s="215">
        <f>L96</f>
        <v>0</v>
      </c>
      <c r="M95" s="215">
        <f>M96</f>
        <v>0</v>
      </c>
    </row>
    <row r="96" spans="1:13" ht="75" customHeight="1">
      <c r="A96" s="2"/>
      <c r="B96" s="262" t="s">
        <v>978</v>
      </c>
      <c r="C96" s="261" t="s">
        <v>716</v>
      </c>
      <c r="D96" s="2" t="s">
        <v>9</v>
      </c>
      <c r="E96" s="2" t="s">
        <v>979</v>
      </c>
      <c r="F96" s="2" t="s">
        <v>38</v>
      </c>
      <c r="G96" s="126" t="s">
        <v>980</v>
      </c>
      <c r="H96" s="100" t="s">
        <v>92</v>
      </c>
      <c r="I96" s="197" t="s">
        <v>981</v>
      </c>
      <c r="J96" s="215">
        <f>96.7-69.57</f>
        <v>27.13000000000001</v>
      </c>
      <c r="K96" s="215">
        <f>96.7-69.57</f>
        <v>27.13000000000001</v>
      </c>
      <c r="L96" s="215">
        <v>0</v>
      </c>
      <c r="M96" s="216">
        <v>0</v>
      </c>
    </row>
    <row r="97" spans="1:13" ht="65.25" customHeight="1">
      <c r="A97" s="78" t="s">
        <v>797</v>
      </c>
      <c r="B97" s="116" t="s">
        <v>798</v>
      </c>
      <c r="C97" s="83"/>
      <c r="D97" s="78"/>
      <c r="E97" s="78"/>
      <c r="F97" s="78"/>
      <c r="G97" s="128"/>
      <c r="H97" s="130"/>
      <c r="I97" s="227"/>
      <c r="J97" s="232">
        <f aca="true" t="shared" si="3" ref="J97:M100">J98</f>
        <v>3446.03799</v>
      </c>
      <c r="K97" s="232">
        <f t="shared" si="3"/>
        <v>3446.03799</v>
      </c>
      <c r="L97" s="232">
        <f t="shared" si="3"/>
        <v>0</v>
      </c>
      <c r="M97" s="232">
        <f t="shared" si="3"/>
        <v>0</v>
      </c>
    </row>
    <row r="98" spans="1:13" ht="45" customHeight="1">
      <c r="A98" s="2"/>
      <c r="B98" s="95" t="s">
        <v>182</v>
      </c>
      <c r="C98" s="4"/>
      <c r="D98" s="2"/>
      <c r="E98" s="2" t="s">
        <v>70</v>
      </c>
      <c r="F98" s="2"/>
      <c r="G98" s="126"/>
      <c r="H98" s="100"/>
      <c r="I98" s="1"/>
      <c r="J98" s="215">
        <f t="shared" si="3"/>
        <v>3446.03799</v>
      </c>
      <c r="K98" s="215">
        <f t="shared" si="3"/>
        <v>3446.03799</v>
      </c>
      <c r="L98" s="215">
        <f t="shared" si="3"/>
        <v>0</v>
      </c>
      <c r="M98" s="215">
        <f t="shared" si="3"/>
        <v>0</v>
      </c>
    </row>
    <row r="99" spans="1:13" ht="25.5" customHeight="1">
      <c r="A99" s="2"/>
      <c r="B99" s="231" t="s">
        <v>495</v>
      </c>
      <c r="C99" s="4"/>
      <c r="D99" s="2"/>
      <c r="E99" s="2" t="s">
        <v>71</v>
      </c>
      <c r="F99" s="2"/>
      <c r="G99" s="126"/>
      <c r="H99" s="100"/>
      <c r="I99" s="1"/>
      <c r="J99" s="215">
        <f t="shared" si="3"/>
        <v>3446.03799</v>
      </c>
      <c r="K99" s="215">
        <f t="shared" si="3"/>
        <v>3446.03799</v>
      </c>
      <c r="L99" s="215">
        <f t="shared" si="3"/>
        <v>0</v>
      </c>
      <c r="M99" s="215">
        <f t="shared" si="3"/>
        <v>0</v>
      </c>
    </row>
    <row r="100" spans="1:13" ht="45" customHeight="1">
      <c r="A100" s="2"/>
      <c r="B100" s="7" t="s">
        <v>800</v>
      </c>
      <c r="C100" s="4"/>
      <c r="D100" s="2"/>
      <c r="E100" s="2" t="s">
        <v>801</v>
      </c>
      <c r="F100" s="2"/>
      <c r="G100" s="126"/>
      <c r="H100" s="100"/>
      <c r="I100" s="1"/>
      <c r="J100" s="215">
        <f t="shared" si="3"/>
        <v>3446.03799</v>
      </c>
      <c r="K100" s="215">
        <f t="shared" si="3"/>
        <v>3446.03799</v>
      </c>
      <c r="L100" s="215">
        <f t="shared" si="3"/>
        <v>0</v>
      </c>
      <c r="M100" s="215">
        <f t="shared" si="3"/>
        <v>0</v>
      </c>
    </row>
    <row r="101" spans="1:13" ht="150" customHeight="1">
      <c r="A101" s="2"/>
      <c r="B101" s="99" t="s">
        <v>783</v>
      </c>
      <c r="C101" s="226" t="s">
        <v>494</v>
      </c>
      <c r="D101" s="106" t="s">
        <v>46</v>
      </c>
      <c r="E101" s="10" t="s">
        <v>435</v>
      </c>
      <c r="F101" s="106" t="s">
        <v>112</v>
      </c>
      <c r="G101" s="126" t="s">
        <v>868</v>
      </c>
      <c r="H101" s="100" t="s">
        <v>799</v>
      </c>
      <c r="I101" s="225" t="s">
        <v>869</v>
      </c>
      <c r="J101" s="213">
        <f>119.60061+3326.43738</f>
        <v>3446.03799</v>
      </c>
      <c r="K101" s="213">
        <f>119.60061+3326.43738</f>
        <v>3446.03799</v>
      </c>
      <c r="L101" s="213">
        <v>0</v>
      </c>
      <c r="M101" s="213">
        <v>0</v>
      </c>
    </row>
    <row r="102" spans="1:13" ht="60" customHeight="1">
      <c r="A102" s="78" t="s">
        <v>154</v>
      </c>
      <c r="B102" s="82" t="s">
        <v>153</v>
      </c>
      <c r="C102" s="83"/>
      <c r="D102" s="78"/>
      <c r="E102" s="78"/>
      <c r="F102" s="78"/>
      <c r="G102" s="84"/>
      <c r="H102" s="85"/>
      <c r="I102" s="85"/>
      <c r="J102" s="212">
        <f aca="true" t="shared" si="4" ref="J102:M103">J103</f>
        <v>12461.91449</v>
      </c>
      <c r="K102" s="212">
        <f t="shared" si="4"/>
        <v>12461.91449</v>
      </c>
      <c r="L102" s="212">
        <f t="shared" si="4"/>
        <v>12457.8592</v>
      </c>
      <c r="M102" s="212">
        <f t="shared" si="4"/>
        <v>11519.5</v>
      </c>
    </row>
    <row r="103" spans="1:60" s="53" customFormat="1" ht="30" customHeight="1">
      <c r="A103" s="2"/>
      <c r="B103" s="11" t="s">
        <v>196</v>
      </c>
      <c r="C103" s="4"/>
      <c r="D103" s="2"/>
      <c r="E103" s="2" t="s">
        <v>67</v>
      </c>
      <c r="F103" s="2"/>
      <c r="G103" s="3"/>
      <c r="H103" s="2"/>
      <c r="I103" s="2"/>
      <c r="J103" s="213">
        <f>J104</f>
        <v>12461.91449</v>
      </c>
      <c r="K103" s="213">
        <f t="shared" si="4"/>
        <v>12461.91449</v>
      </c>
      <c r="L103" s="213">
        <f t="shared" si="4"/>
        <v>12457.8592</v>
      </c>
      <c r="M103" s="213">
        <f t="shared" si="4"/>
        <v>11519.5</v>
      </c>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71"/>
    </row>
    <row r="104" spans="1:60" s="53" customFormat="1" ht="30" customHeight="1">
      <c r="A104" s="57"/>
      <c r="B104" s="50" t="s">
        <v>200</v>
      </c>
      <c r="C104" s="73"/>
      <c r="D104" s="74"/>
      <c r="E104" s="2" t="s">
        <v>88</v>
      </c>
      <c r="F104" s="73"/>
      <c r="G104" s="9"/>
      <c r="H104" s="4"/>
      <c r="I104" s="5"/>
      <c r="J104" s="213">
        <f>J105+J106</f>
        <v>12461.91449</v>
      </c>
      <c r="K104" s="213">
        <f>K105+K106</f>
        <v>12461.91449</v>
      </c>
      <c r="L104" s="213">
        <f>L105+L106</f>
        <v>12457.8592</v>
      </c>
      <c r="M104" s="213">
        <f>M105+M106</f>
        <v>11519.5</v>
      </c>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71"/>
    </row>
    <row r="105" spans="1:60" s="53" customFormat="1" ht="68.25" customHeight="1">
      <c r="A105" s="57"/>
      <c r="B105" s="50" t="s">
        <v>201</v>
      </c>
      <c r="C105" s="52" t="s">
        <v>4</v>
      </c>
      <c r="D105" s="48" t="s">
        <v>46</v>
      </c>
      <c r="E105" s="48" t="s">
        <v>202</v>
      </c>
      <c r="F105" s="48" t="s">
        <v>38</v>
      </c>
      <c r="G105" s="296" t="s">
        <v>673</v>
      </c>
      <c r="H105" s="293" t="s">
        <v>44</v>
      </c>
      <c r="I105" s="288" t="s">
        <v>445</v>
      </c>
      <c r="J105" s="213">
        <f>11499.5+1157.7293-1.96032-213.35449</f>
        <v>12441.91449</v>
      </c>
      <c r="K105" s="213">
        <f>11499.5+1157.7293-1.96032-213.35449</f>
        <v>12441.91449</v>
      </c>
      <c r="L105" s="213">
        <f>11499.5+938.3592</f>
        <v>12437.8592</v>
      </c>
      <c r="M105" s="213">
        <v>11499.5</v>
      </c>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71"/>
    </row>
    <row r="106" spans="1:60" s="53" customFormat="1" ht="30" customHeight="1">
      <c r="A106" s="57"/>
      <c r="B106" s="7" t="s">
        <v>99</v>
      </c>
      <c r="C106" s="52" t="s">
        <v>4</v>
      </c>
      <c r="D106" s="48" t="s">
        <v>46</v>
      </c>
      <c r="E106" s="48" t="s">
        <v>203</v>
      </c>
      <c r="F106" s="48" t="s">
        <v>38</v>
      </c>
      <c r="G106" s="297"/>
      <c r="H106" s="294"/>
      <c r="I106" s="311"/>
      <c r="J106" s="213">
        <v>20</v>
      </c>
      <c r="K106" s="213">
        <v>20</v>
      </c>
      <c r="L106" s="213">
        <v>20</v>
      </c>
      <c r="M106" s="213">
        <v>20</v>
      </c>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71"/>
    </row>
    <row r="107" spans="1:60" s="53" customFormat="1" ht="70.5" customHeight="1">
      <c r="A107" s="78" t="s">
        <v>302</v>
      </c>
      <c r="B107" s="116" t="s">
        <v>469</v>
      </c>
      <c r="C107" s="83"/>
      <c r="D107" s="78"/>
      <c r="E107" s="78"/>
      <c r="F107" s="78"/>
      <c r="G107" s="102"/>
      <c r="H107" s="83"/>
      <c r="I107" s="85"/>
      <c r="J107" s="212">
        <f aca="true" t="shared" si="5" ref="J107:M108">J108</f>
        <v>36</v>
      </c>
      <c r="K107" s="212">
        <f t="shared" si="5"/>
        <v>36</v>
      </c>
      <c r="L107" s="212">
        <f t="shared" si="5"/>
        <v>55</v>
      </c>
      <c r="M107" s="212">
        <f t="shared" si="5"/>
        <v>55</v>
      </c>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71"/>
    </row>
    <row r="108" spans="1:60" s="53" customFormat="1" ht="45" customHeight="1">
      <c r="A108" s="57"/>
      <c r="B108" s="7" t="s">
        <v>234</v>
      </c>
      <c r="C108" s="52"/>
      <c r="D108" s="48"/>
      <c r="E108" s="2" t="s">
        <v>54</v>
      </c>
      <c r="F108" s="48"/>
      <c r="G108" s="9"/>
      <c r="H108" s="4"/>
      <c r="I108" s="5"/>
      <c r="J108" s="213">
        <f>J109</f>
        <v>36</v>
      </c>
      <c r="K108" s="213">
        <f t="shared" si="5"/>
        <v>36</v>
      </c>
      <c r="L108" s="213">
        <f t="shared" si="5"/>
        <v>55</v>
      </c>
      <c r="M108" s="213">
        <f t="shared" si="5"/>
        <v>55</v>
      </c>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71"/>
    </row>
    <row r="109" spans="1:60" s="53" customFormat="1" ht="72" customHeight="1">
      <c r="A109" s="57"/>
      <c r="B109" s="7" t="s">
        <v>127</v>
      </c>
      <c r="C109" s="2" t="s">
        <v>425</v>
      </c>
      <c r="D109" s="48" t="s">
        <v>103</v>
      </c>
      <c r="E109" s="2" t="s">
        <v>470</v>
      </c>
      <c r="F109" s="48" t="s">
        <v>38</v>
      </c>
      <c r="G109" s="9" t="s">
        <v>674</v>
      </c>
      <c r="H109" s="4" t="s">
        <v>44</v>
      </c>
      <c r="I109" s="5" t="s">
        <v>186</v>
      </c>
      <c r="J109" s="213">
        <f>15+21</f>
        <v>36</v>
      </c>
      <c r="K109" s="213">
        <f>15+21</f>
        <v>36</v>
      </c>
      <c r="L109" s="213">
        <v>55</v>
      </c>
      <c r="M109" s="213">
        <v>55</v>
      </c>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71"/>
    </row>
    <row r="110" spans="1:60" s="53" customFormat="1" ht="135" customHeight="1">
      <c r="A110" s="78" t="s">
        <v>204</v>
      </c>
      <c r="B110" s="116" t="s">
        <v>298</v>
      </c>
      <c r="C110" s="83"/>
      <c r="D110" s="78"/>
      <c r="E110" s="78"/>
      <c r="F110" s="78"/>
      <c r="G110" s="102"/>
      <c r="H110" s="83"/>
      <c r="I110" s="85"/>
      <c r="J110" s="212">
        <f>J111</f>
        <v>43.97</v>
      </c>
      <c r="K110" s="212">
        <f>K111</f>
        <v>43.97</v>
      </c>
      <c r="L110" s="212">
        <f>L111</f>
        <v>70</v>
      </c>
      <c r="M110" s="212">
        <f>M111</f>
        <v>70</v>
      </c>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71"/>
    </row>
    <row r="111" spans="1:60" s="53" customFormat="1" ht="60" customHeight="1">
      <c r="A111" s="57"/>
      <c r="B111" s="7" t="s">
        <v>115</v>
      </c>
      <c r="C111" s="52"/>
      <c r="D111" s="48"/>
      <c r="E111" s="48"/>
      <c r="F111" s="48"/>
      <c r="G111" s="9"/>
      <c r="H111" s="4"/>
      <c r="I111" s="5"/>
      <c r="J111" s="213">
        <f>J112+J113+J114+J115</f>
        <v>43.97</v>
      </c>
      <c r="K111" s="213">
        <f>K112+K113+K114+K115</f>
        <v>43.97</v>
      </c>
      <c r="L111" s="213">
        <f>L112+L113+L114+L115</f>
        <v>70</v>
      </c>
      <c r="M111" s="213">
        <f>M112+M113+M114+M115</f>
        <v>70</v>
      </c>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71"/>
    </row>
    <row r="112" spans="1:60" s="53" customFormat="1" ht="30" customHeight="1">
      <c r="A112" s="57"/>
      <c r="B112" s="7" t="s">
        <v>117</v>
      </c>
      <c r="C112" s="2" t="s">
        <v>425</v>
      </c>
      <c r="D112" s="2" t="s">
        <v>9</v>
      </c>
      <c r="E112" s="91" t="s">
        <v>116</v>
      </c>
      <c r="F112" s="2" t="s">
        <v>38</v>
      </c>
      <c r="G112" s="283" t="s">
        <v>993</v>
      </c>
      <c r="H112" s="381" t="s">
        <v>92</v>
      </c>
      <c r="I112" s="381" t="s">
        <v>186</v>
      </c>
      <c r="J112" s="213">
        <v>25</v>
      </c>
      <c r="K112" s="213">
        <v>25</v>
      </c>
      <c r="L112" s="213">
        <v>25</v>
      </c>
      <c r="M112" s="213">
        <v>25</v>
      </c>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71"/>
    </row>
    <row r="113" spans="1:60" s="53" customFormat="1" ht="75" customHeight="1">
      <c r="A113" s="57"/>
      <c r="B113" s="7" t="s">
        <v>118</v>
      </c>
      <c r="C113" s="2" t="s">
        <v>425</v>
      </c>
      <c r="D113" s="2" t="s">
        <v>9</v>
      </c>
      <c r="E113" s="91" t="s">
        <v>119</v>
      </c>
      <c r="F113" s="2" t="s">
        <v>38</v>
      </c>
      <c r="G113" s="284"/>
      <c r="H113" s="382"/>
      <c r="I113" s="382"/>
      <c r="J113" s="213">
        <f>25-9.53</f>
        <v>15.47</v>
      </c>
      <c r="K113" s="213">
        <f>25-9.53</f>
        <v>15.47</v>
      </c>
      <c r="L113" s="213">
        <v>25</v>
      </c>
      <c r="M113" s="213">
        <v>25</v>
      </c>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71"/>
    </row>
    <row r="114" spans="1:60" s="53" customFormat="1" ht="45" customHeight="1">
      <c r="A114" s="1"/>
      <c r="B114" s="7" t="s">
        <v>121</v>
      </c>
      <c r="C114" s="2" t="s">
        <v>425</v>
      </c>
      <c r="D114" s="2" t="s">
        <v>9</v>
      </c>
      <c r="E114" s="2" t="s">
        <v>120</v>
      </c>
      <c r="F114" s="2" t="s">
        <v>38</v>
      </c>
      <c r="G114" s="284"/>
      <c r="H114" s="382"/>
      <c r="I114" s="382"/>
      <c r="J114" s="213">
        <v>3.5</v>
      </c>
      <c r="K114" s="213">
        <v>3.5</v>
      </c>
      <c r="L114" s="213">
        <v>10</v>
      </c>
      <c r="M114" s="213">
        <v>10</v>
      </c>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71"/>
    </row>
    <row r="115" spans="1:60" s="53" customFormat="1" ht="45" customHeight="1">
      <c r="A115" s="57"/>
      <c r="B115" s="50" t="s">
        <v>122</v>
      </c>
      <c r="C115" s="2" t="s">
        <v>425</v>
      </c>
      <c r="D115" s="2" t="s">
        <v>9</v>
      </c>
      <c r="E115" s="2" t="s">
        <v>123</v>
      </c>
      <c r="F115" s="2" t="s">
        <v>38</v>
      </c>
      <c r="G115" s="300"/>
      <c r="H115" s="383"/>
      <c r="I115" s="383"/>
      <c r="J115" s="213">
        <f>10-10</f>
        <v>0</v>
      </c>
      <c r="K115" s="213">
        <f>10-10</f>
        <v>0</v>
      </c>
      <c r="L115" s="213">
        <v>10</v>
      </c>
      <c r="M115" s="213">
        <v>10</v>
      </c>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71"/>
    </row>
    <row r="116" spans="1:13" ht="48.75" customHeight="1">
      <c r="A116" s="78" t="s">
        <v>155</v>
      </c>
      <c r="B116" s="79" t="s">
        <v>465</v>
      </c>
      <c r="C116" s="86"/>
      <c r="D116" s="80"/>
      <c r="E116" s="80"/>
      <c r="F116" s="78"/>
      <c r="G116" s="81"/>
      <c r="H116" s="78"/>
      <c r="I116" s="78"/>
      <c r="J116" s="212">
        <f>J117</f>
        <v>21.015</v>
      </c>
      <c r="K116" s="212">
        <f>K117</f>
        <v>21.015</v>
      </c>
      <c r="L116" s="212">
        <f>L117</f>
        <v>245.7</v>
      </c>
      <c r="M116" s="212">
        <f>M117</f>
        <v>245.7</v>
      </c>
    </row>
    <row r="117" spans="1:13" ht="45" customHeight="1">
      <c r="A117" s="2"/>
      <c r="B117" s="12" t="s">
        <v>126</v>
      </c>
      <c r="C117" s="2"/>
      <c r="D117" s="2"/>
      <c r="E117" s="2" t="s">
        <v>54</v>
      </c>
      <c r="F117" s="2"/>
      <c r="G117" s="25"/>
      <c r="H117" s="2"/>
      <c r="I117" s="2"/>
      <c r="J117" s="213">
        <f>J118+J119</f>
        <v>21.015</v>
      </c>
      <c r="K117" s="213">
        <f>K118+K119</f>
        <v>21.015</v>
      </c>
      <c r="L117" s="213">
        <f>L118+L119</f>
        <v>245.7</v>
      </c>
      <c r="M117" s="213">
        <f>M118+M119</f>
        <v>245.7</v>
      </c>
    </row>
    <row r="118" spans="1:61" s="56" customFormat="1" ht="80.25" customHeight="1">
      <c r="A118" s="290"/>
      <c r="B118" s="280" t="s">
        <v>50</v>
      </c>
      <c r="C118" s="2" t="s">
        <v>425</v>
      </c>
      <c r="D118" s="2" t="s">
        <v>103</v>
      </c>
      <c r="E118" s="2" t="s">
        <v>468</v>
      </c>
      <c r="F118" s="2" t="s">
        <v>187</v>
      </c>
      <c r="G118" s="296" t="s">
        <v>996</v>
      </c>
      <c r="H118" s="290" t="s">
        <v>109</v>
      </c>
      <c r="I118" s="290" t="s">
        <v>997</v>
      </c>
      <c r="J118" s="218">
        <v>0</v>
      </c>
      <c r="K118" s="213">
        <v>0</v>
      </c>
      <c r="L118" s="218">
        <v>75.5</v>
      </c>
      <c r="M118" s="218">
        <v>75.5</v>
      </c>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63"/>
    </row>
    <row r="119" spans="1:61" s="56" customFormat="1" ht="80.25" customHeight="1">
      <c r="A119" s="292"/>
      <c r="B119" s="312"/>
      <c r="C119" s="2" t="s">
        <v>425</v>
      </c>
      <c r="D119" s="2" t="s">
        <v>103</v>
      </c>
      <c r="E119" s="2" t="s">
        <v>468</v>
      </c>
      <c r="F119" s="2" t="s">
        <v>38</v>
      </c>
      <c r="G119" s="297"/>
      <c r="H119" s="292"/>
      <c r="I119" s="292"/>
      <c r="J119" s="218">
        <f>11+15.015-5</f>
        <v>21.015</v>
      </c>
      <c r="K119" s="213">
        <f>11+15.015-5</f>
        <v>21.015</v>
      </c>
      <c r="L119" s="218">
        <v>170.2</v>
      </c>
      <c r="M119" s="218">
        <v>170.2</v>
      </c>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63"/>
    </row>
    <row r="120" spans="1:61" s="56" customFormat="1" ht="91.5" customHeight="1">
      <c r="A120" s="78" t="s">
        <v>477</v>
      </c>
      <c r="B120" s="86" t="s">
        <v>478</v>
      </c>
      <c r="C120" s="86"/>
      <c r="D120" s="86"/>
      <c r="E120" s="86"/>
      <c r="F120" s="86"/>
      <c r="G120" s="86"/>
      <c r="H120" s="86"/>
      <c r="I120" s="86"/>
      <c r="J120" s="212">
        <f aca="true" t="shared" si="6" ref="J120:M121">J121</f>
        <v>1956.5409399999999</v>
      </c>
      <c r="K120" s="212">
        <f t="shared" si="6"/>
        <v>1956.5409399999999</v>
      </c>
      <c r="L120" s="212">
        <f t="shared" si="6"/>
        <v>0</v>
      </c>
      <c r="M120" s="212">
        <f t="shared" si="6"/>
        <v>0</v>
      </c>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63"/>
    </row>
    <row r="121" spans="1:61" s="56" customFormat="1" ht="52.5" customHeight="1">
      <c r="A121" s="105"/>
      <c r="B121" s="12" t="s">
        <v>126</v>
      </c>
      <c r="C121" s="2"/>
      <c r="D121" s="2"/>
      <c r="E121" s="2" t="s">
        <v>54</v>
      </c>
      <c r="F121" s="57"/>
      <c r="G121" s="109"/>
      <c r="H121" s="109"/>
      <c r="I121" s="109"/>
      <c r="J121" s="213">
        <f t="shared" si="6"/>
        <v>1956.5409399999999</v>
      </c>
      <c r="K121" s="213">
        <f t="shared" si="6"/>
        <v>1956.5409399999999</v>
      </c>
      <c r="L121" s="213">
        <f t="shared" si="6"/>
        <v>0</v>
      </c>
      <c r="M121" s="213">
        <f t="shared" si="6"/>
        <v>0</v>
      </c>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63"/>
    </row>
    <row r="122" spans="1:61" s="56" customFormat="1" ht="165" customHeight="1">
      <c r="A122" s="105"/>
      <c r="B122" s="99" t="s">
        <v>795</v>
      </c>
      <c r="C122" s="2" t="s">
        <v>425</v>
      </c>
      <c r="D122" s="2" t="s">
        <v>103</v>
      </c>
      <c r="E122" s="2" t="s">
        <v>796</v>
      </c>
      <c r="F122" s="2" t="s">
        <v>38</v>
      </c>
      <c r="G122" s="126" t="s">
        <v>870</v>
      </c>
      <c r="H122" s="105" t="s">
        <v>529</v>
      </c>
      <c r="I122" s="105" t="s">
        <v>530</v>
      </c>
      <c r="J122" s="213">
        <f>2216.62972+11.04866-271.13744</f>
        <v>1956.5409399999999</v>
      </c>
      <c r="K122" s="213">
        <f>2216.62972+11.04866-271.13744</f>
        <v>1956.5409399999999</v>
      </c>
      <c r="L122" s="218">
        <v>0</v>
      </c>
      <c r="M122" s="218">
        <v>0</v>
      </c>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63"/>
    </row>
    <row r="123" spans="1:61" s="56" customFormat="1" ht="30" customHeight="1">
      <c r="A123" s="78" t="s">
        <v>299</v>
      </c>
      <c r="B123" s="82" t="s">
        <v>466</v>
      </c>
      <c r="C123" s="78"/>
      <c r="D123" s="78"/>
      <c r="E123" s="78"/>
      <c r="F123" s="78"/>
      <c r="G123" s="102"/>
      <c r="H123" s="78"/>
      <c r="I123" s="78"/>
      <c r="J123" s="212">
        <f aca="true" t="shared" si="7" ref="J123:M124">J124</f>
        <v>6127.4349999999995</v>
      </c>
      <c r="K123" s="212">
        <f t="shared" si="7"/>
        <v>6127.4349999999995</v>
      </c>
      <c r="L123" s="212">
        <f t="shared" si="7"/>
        <v>5795.4</v>
      </c>
      <c r="M123" s="212">
        <f t="shared" si="7"/>
        <v>5795.4</v>
      </c>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63"/>
    </row>
    <row r="124" spans="1:61" s="56" customFormat="1" ht="45" customHeight="1">
      <c r="A124" s="2"/>
      <c r="B124" s="7" t="s">
        <v>234</v>
      </c>
      <c r="C124" s="2"/>
      <c r="D124" s="2"/>
      <c r="E124" s="2" t="s">
        <v>54</v>
      </c>
      <c r="F124" s="2"/>
      <c r="G124" s="9"/>
      <c r="H124" s="2"/>
      <c r="I124" s="2"/>
      <c r="J124" s="213">
        <f t="shared" si="7"/>
        <v>6127.4349999999995</v>
      </c>
      <c r="K124" s="213">
        <f t="shared" si="7"/>
        <v>6127.4349999999995</v>
      </c>
      <c r="L124" s="213">
        <f t="shared" si="7"/>
        <v>5795.4</v>
      </c>
      <c r="M124" s="213">
        <f t="shared" si="7"/>
        <v>5795.4</v>
      </c>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63"/>
    </row>
    <row r="125" spans="1:61" s="56" customFormat="1" ht="45" customHeight="1">
      <c r="A125" s="2"/>
      <c r="B125" s="7" t="s">
        <v>456</v>
      </c>
      <c r="C125" s="2"/>
      <c r="D125" s="2"/>
      <c r="E125" s="2" t="s">
        <v>459</v>
      </c>
      <c r="F125" s="2"/>
      <c r="G125" s="9"/>
      <c r="H125" s="2"/>
      <c r="I125" s="2"/>
      <c r="J125" s="213">
        <f>J126+J127+J128</f>
        <v>6127.4349999999995</v>
      </c>
      <c r="K125" s="213">
        <f>K126+K127+K128</f>
        <v>6127.4349999999995</v>
      </c>
      <c r="L125" s="213">
        <f>L126+L127+L128</f>
        <v>5795.4</v>
      </c>
      <c r="M125" s="213">
        <f>M126+M127+M128</f>
        <v>5795.4</v>
      </c>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63"/>
    </row>
    <row r="126" spans="1:61" s="56" customFormat="1" ht="54.75" customHeight="1">
      <c r="A126" s="290"/>
      <c r="B126" s="280" t="s">
        <v>765</v>
      </c>
      <c r="C126" s="2" t="s">
        <v>425</v>
      </c>
      <c r="D126" s="2" t="s">
        <v>103</v>
      </c>
      <c r="E126" s="2" t="s">
        <v>455</v>
      </c>
      <c r="F126" s="2" t="s">
        <v>187</v>
      </c>
      <c r="G126" s="9" t="s">
        <v>871</v>
      </c>
      <c r="H126" s="2" t="s">
        <v>872</v>
      </c>
      <c r="I126" s="2" t="s">
        <v>574</v>
      </c>
      <c r="J126" s="218">
        <v>4680.9</v>
      </c>
      <c r="K126" s="219">
        <f>4680.9</f>
        <v>4680.9</v>
      </c>
      <c r="L126" s="219">
        <f>4834.2</f>
        <v>4834.2</v>
      </c>
      <c r="M126" s="219">
        <f>4834.2</f>
        <v>4834.2</v>
      </c>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63"/>
    </row>
    <row r="127" spans="1:61" s="56" customFormat="1" ht="30" customHeight="1">
      <c r="A127" s="291"/>
      <c r="B127" s="281"/>
      <c r="C127" s="2" t="s">
        <v>425</v>
      </c>
      <c r="D127" s="2" t="s">
        <v>103</v>
      </c>
      <c r="E127" s="2" t="s">
        <v>455</v>
      </c>
      <c r="F127" s="2" t="s">
        <v>38</v>
      </c>
      <c r="G127" s="296" t="s">
        <v>873</v>
      </c>
      <c r="H127" s="290" t="s">
        <v>44</v>
      </c>
      <c r="I127" s="290" t="s">
        <v>186</v>
      </c>
      <c r="J127" s="219">
        <v>1411.76972</v>
      </c>
      <c r="K127" s="219">
        <v>1411.76972</v>
      </c>
      <c r="L127" s="219">
        <f>961.2</f>
        <v>961.2</v>
      </c>
      <c r="M127" s="219">
        <f>961.2</f>
        <v>961.2</v>
      </c>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63"/>
    </row>
    <row r="128" spans="1:61" s="56" customFormat="1" ht="51.75" customHeight="1">
      <c r="A128" s="292"/>
      <c r="B128" s="312"/>
      <c r="C128" s="2" t="s">
        <v>425</v>
      </c>
      <c r="D128" s="2" t="s">
        <v>103</v>
      </c>
      <c r="E128" s="2" t="s">
        <v>455</v>
      </c>
      <c r="F128" s="2" t="s">
        <v>39</v>
      </c>
      <c r="G128" s="285"/>
      <c r="H128" s="285"/>
      <c r="I128" s="285"/>
      <c r="J128" s="219">
        <v>34.76528</v>
      </c>
      <c r="K128" s="219">
        <v>34.76528</v>
      </c>
      <c r="L128" s="219">
        <v>0</v>
      </c>
      <c r="M128" s="219">
        <v>0</v>
      </c>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63"/>
    </row>
    <row r="129" spans="1:61" s="56" customFormat="1" ht="45" customHeight="1">
      <c r="A129" s="78" t="s">
        <v>300</v>
      </c>
      <c r="B129" s="116" t="s">
        <v>467</v>
      </c>
      <c r="C129" s="78"/>
      <c r="D129" s="78"/>
      <c r="E129" s="101"/>
      <c r="F129" s="78"/>
      <c r="G129" s="102"/>
      <c r="H129" s="78"/>
      <c r="I129" s="78"/>
      <c r="J129" s="212">
        <f aca="true" t="shared" si="8" ref="J129:M130">J130</f>
        <v>0</v>
      </c>
      <c r="K129" s="212">
        <f t="shared" si="8"/>
        <v>0</v>
      </c>
      <c r="L129" s="212">
        <f t="shared" si="8"/>
        <v>80</v>
      </c>
      <c r="M129" s="212">
        <f t="shared" si="8"/>
        <v>80</v>
      </c>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63"/>
    </row>
    <row r="130" spans="1:61" s="56" customFormat="1" ht="45" customHeight="1">
      <c r="A130" s="2"/>
      <c r="B130" s="7" t="s">
        <v>234</v>
      </c>
      <c r="C130" s="2"/>
      <c r="D130" s="2"/>
      <c r="E130" s="10" t="s">
        <v>54</v>
      </c>
      <c r="F130" s="2"/>
      <c r="G130" s="9"/>
      <c r="H130" s="2"/>
      <c r="I130" s="2"/>
      <c r="J130" s="213">
        <f t="shared" si="8"/>
        <v>0</v>
      </c>
      <c r="K130" s="213">
        <f t="shared" si="8"/>
        <v>0</v>
      </c>
      <c r="L130" s="213">
        <f t="shared" si="8"/>
        <v>80</v>
      </c>
      <c r="M130" s="213">
        <f t="shared" si="8"/>
        <v>80</v>
      </c>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63"/>
    </row>
    <row r="131" spans="1:61" s="56" customFormat="1" ht="72" customHeight="1">
      <c r="A131" s="57"/>
      <c r="B131" s="7" t="s">
        <v>301</v>
      </c>
      <c r="C131" s="2" t="s">
        <v>425</v>
      </c>
      <c r="D131" s="2" t="s">
        <v>103</v>
      </c>
      <c r="E131" s="2" t="s">
        <v>476</v>
      </c>
      <c r="F131" s="2" t="s">
        <v>38</v>
      </c>
      <c r="G131" s="9" t="s">
        <v>643</v>
      </c>
      <c r="H131" s="2" t="s">
        <v>44</v>
      </c>
      <c r="I131" s="2" t="s">
        <v>186</v>
      </c>
      <c r="J131" s="213">
        <v>0</v>
      </c>
      <c r="K131" s="213">
        <v>0</v>
      </c>
      <c r="L131" s="213">
        <v>80</v>
      </c>
      <c r="M131" s="213">
        <v>80</v>
      </c>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63"/>
    </row>
    <row r="132" spans="1:62" s="58" customFormat="1" ht="135" customHeight="1">
      <c r="A132" s="78" t="s">
        <v>156</v>
      </c>
      <c r="B132" s="79" t="s">
        <v>157</v>
      </c>
      <c r="C132" s="78"/>
      <c r="D132" s="78"/>
      <c r="E132" s="86"/>
      <c r="F132" s="86"/>
      <c r="G132" s="81"/>
      <c r="H132" s="78"/>
      <c r="I132" s="78"/>
      <c r="J132" s="212">
        <f>J133</f>
        <v>47409.19559</v>
      </c>
      <c r="K132" s="212">
        <f>K133</f>
        <v>47409.19559</v>
      </c>
      <c r="L132" s="212">
        <f>L133</f>
        <v>39544.3896</v>
      </c>
      <c r="M132" s="212">
        <f>M133</f>
        <v>36065.779899999994</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54"/>
      <c r="BJ132" s="24"/>
    </row>
    <row r="133" spans="1:62" s="58" customFormat="1" ht="30" customHeight="1">
      <c r="A133" s="2"/>
      <c r="B133" s="11" t="s">
        <v>273</v>
      </c>
      <c r="C133" s="57"/>
      <c r="D133" s="2"/>
      <c r="E133" s="2" t="s">
        <v>74</v>
      </c>
      <c r="F133" s="57"/>
      <c r="G133" s="27"/>
      <c r="H133" s="2"/>
      <c r="I133" s="2"/>
      <c r="J133" s="213">
        <f>J134+J142</f>
        <v>47409.19559</v>
      </c>
      <c r="K133" s="213">
        <f>K134+K142</f>
        <v>47409.19559</v>
      </c>
      <c r="L133" s="213">
        <f>L134+L142</f>
        <v>39544.3896</v>
      </c>
      <c r="M133" s="213">
        <f>M134+M142</f>
        <v>36065.779899999994</v>
      </c>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54"/>
      <c r="BJ133" s="24"/>
    </row>
    <row r="134" spans="1:61" s="24" customFormat="1" ht="30" customHeight="1">
      <c r="A134" s="2"/>
      <c r="B134" s="6" t="s">
        <v>274</v>
      </c>
      <c r="C134" s="57"/>
      <c r="D134" s="2"/>
      <c r="E134" s="2" t="s">
        <v>91</v>
      </c>
      <c r="F134" s="57"/>
      <c r="G134" s="5"/>
      <c r="H134" s="4"/>
      <c r="I134" s="2"/>
      <c r="J134" s="213">
        <f>J135+J136+J137+J138+J139+J140+J141</f>
        <v>36903.8456</v>
      </c>
      <c r="K134" s="213">
        <f>K135+K136+K137+K138+K139+K140+K141</f>
        <v>36903.8456</v>
      </c>
      <c r="L134" s="213">
        <f>L135+L136+L137+L138+L139+L140+L141</f>
        <v>34212.91</v>
      </c>
      <c r="M134" s="213">
        <f>M135+M136+M137+M138+M139+M140+M141</f>
        <v>36065.779899999994</v>
      </c>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54"/>
    </row>
    <row r="135" spans="1:61" s="24" customFormat="1" ht="60" customHeight="1">
      <c r="A135" s="290"/>
      <c r="B135" s="280" t="s">
        <v>106</v>
      </c>
      <c r="C135" s="2" t="s">
        <v>427</v>
      </c>
      <c r="D135" s="2" t="s">
        <v>75</v>
      </c>
      <c r="E135" s="2" t="s">
        <v>275</v>
      </c>
      <c r="F135" s="1" t="s">
        <v>42</v>
      </c>
      <c r="G135" s="283" t="s">
        <v>549</v>
      </c>
      <c r="H135" s="290" t="s">
        <v>366</v>
      </c>
      <c r="I135" s="290" t="s">
        <v>550</v>
      </c>
      <c r="J135" s="219">
        <v>15289.3431</v>
      </c>
      <c r="K135" s="277">
        <v>15289.3431</v>
      </c>
      <c r="L135" s="219">
        <v>13956.4732</v>
      </c>
      <c r="M135" s="219">
        <v>15289.3431</v>
      </c>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54"/>
    </row>
    <row r="136" spans="1:61" s="24" customFormat="1" ht="60" customHeight="1">
      <c r="A136" s="292"/>
      <c r="B136" s="312"/>
      <c r="C136" s="2" t="s">
        <v>427</v>
      </c>
      <c r="D136" s="2" t="s">
        <v>75</v>
      </c>
      <c r="E136" s="2" t="s">
        <v>275</v>
      </c>
      <c r="F136" s="1" t="s">
        <v>276</v>
      </c>
      <c r="G136" s="284"/>
      <c r="H136" s="291"/>
      <c r="I136" s="291"/>
      <c r="J136" s="219">
        <v>13991.8586</v>
      </c>
      <c r="K136" s="277">
        <v>13991.8586</v>
      </c>
      <c r="L136" s="219">
        <v>13991.8586</v>
      </c>
      <c r="M136" s="219">
        <v>13991.8586</v>
      </c>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54"/>
    </row>
    <row r="137" spans="1:13" s="26" customFormat="1" ht="60" customHeight="1">
      <c r="A137" s="2"/>
      <c r="B137" s="11" t="s">
        <v>107</v>
      </c>
      <c r="C137" s="2" t="s">
        <v>427</v>
      </c>
      <c r="D137" s="2" t="s">
        <v>75</v>
      </c>
      <c r="E137" s="2" t="s">
        <v>362</v>
      </c>
      <c r="F137" s="2" t="s">
        <v>42</v>
      </c>
      <c r="G137" s="300"/>
      <c r="H137" s="292"/>
      <c r="I137" s="292"/>
      <c r="J137" s="219">
        <v>6081.2839</v>
      </c>
      <c r="K137" s="219">
        <v>6081.2839</v>
      </c>
      <c r="L137" s="219">
        <v>6264.5782</v>
      </c>
      <c r="M137" s="219">
        <v>6264.5782</v>
      </c>
    </row>
    <row r="138" spans="1:61" s="24" customFormat="1" ht="64.5" customHeight="1">
      <c r="A138" s="290"/>
      <c r="B138" s="280" t="s">
        <v>108</v>
      </c>
      <c r="C138" s="2" t="s">
        <v>427</v>
      </c>
      <c r="D138" s="2" t="s">
        <v>75</v>
      </c>
      <c r="E138" s="2" t="s">
        <v>349</v>
      </c>
      <c r="F138" s="2" t="s">
        <v>42</v>
      </c>
      <c r="G138" s="283" t="s">
        <v>551</v>
      </c>
      <c r="H138" s="293" t="s">
        <v>367</v>
      </c>
      <c r="I138" s="293" t="s">
        <v>876</v>
      </c>
      <c r="J138" s="277">
        <f>391.51+386.766-158.556+45.81</f>
        <v>665.53</v>
      </c>
      <c r="K138" s="277">
        <f>391.51+386.766-158.556+45.81</f>
        <v>665.53</v>
      </c>
      <c r="L138" s="277">
        <v>0</v>
      </c>
      <c r="M138" s="277">
        <v>0</v>
      </c>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54"/>
    </row>
    <row r="139" spans="1:61" s="24" customFormat="1" ht="64.5" customHeight="1">
      <c r="A139" s="292"/>
      <c r="B139" s="312"/>
      <c r="C139" s="2" t="s">
        <v>427</v>
      </c>
      <c r="D139" s="2" t="s">
        <v>75</v>
      </c>
      <c r="E139" s="2" t="s">
        <v>349</v>
      </c>
      <c r="F139" s="2" t="s">
        <v>276</v>
      </c>
      <c r="G139" s="300"/>
      <c r="H139" s="294"/>
      <c r="I139" s="294"/>
      <c r="J139" s="277">
        <f>401.64-45.81</f>
        <v>355.83</v>
      </c>
      <c r="K139" s="277">
        <f>401.64-45.81</f>
        <v>355.83</v>
      </c>
      <c r="L139" s="277">
        <v>0</v>
      </c>
      <c r="M139" s="277">
        <v>0</v>
      </c>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54"/>
    </row>
    <row r="140" spans="1:61" s="24" customFormat="1" ht="53.25" customHeight="1">
      <c r="A140" s="105"/>
      <c r="B140" s="280" t="s">
        <v>808</v>
      </c>
      <c r="C140" s="2" t="s">
        <v>427</v>
      </c>
      <c r="D140" s="105" t="s">
        <v>75</v>
      </c>
      <c r="E140" s="2" t="s">
        <v>807</v>
      </c>
      <c r="F140" s="2" t="s">
        <v>42</v>
      </c>
      <c r="G140" s="318" t="s">
        <v>874</v>
      </c>
      <c r="H140" s="293" t="s">
        <v>813</v>
      </c>
      <c r="I140" s="293" t="s">
        <v>875</v>
      </c>
      <c r="J140" s="219">
        <v>520</v>
      </c>
      <c r="K140" s="277">
        <v>520</v>
      </c>
      <c r="L140" s="277">
        <v>0</v>
      </c>
      <c r="M140" s="277">
        <f>260</f>
        <v>260</v>
      </c>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54"/>
    </row>
    <row r="141" spans="1:61" s="24" customFormat="1" ht="53.25" customHeight="1">
      <c r="A141" s="105"/>
      <c r="B141" s="312"/>
      <c r="C141" s="2" t="s">
        <v>427</v>
      </c>
      <c r="D141" s="105" t="s">
        <v>75</v>
      </c>
      <c r="E141" s="2" t="s">
        <v>807</v>
      </c>
      <c r="F141" s="2" t="s">
        <v>276</v>
      </c>
      <c r="G141" s="319"/>
      <c r="H141" s="294"/>
      <c r="I141" s="294"/>
      <c r="J141" s="219">
        <v>0</v>
      </c>
      <c r="K141" s="277">
        <v>0</v>
      </c>
      <c r="L141" s="277">
        <v>0</v>
      </c>
      <c r="M141" s="277">
        <f>260</f>
        <v>260</v>
      </c>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54"/>
    </row>
    <row r="142" spans="1:61" s="24" customFormat="1" ht="45" customHeight="1">
      <c r="A142" s="105"/>
      <c r="B142" s="99" t="s">
        <v>277</v>
      </c>
      <c r="C142" s="2"/>
      <c r="D142" s="105"/>
      <c r="E142" s="105" t="s">
        <v>89</v>
      </c>
      <c r="F142" s="2"/>
      <c r="G142" s="92"/>
      <c r="H142" s="107"/>
      <c r="I142" s="1"/>
      <c r="J142" s="218">
        <f>J143+J147+J144+J148+J145+J146</f>
        <v>10505.349989999999</v>
      </c>
      <c r="K142" s="213">
        <f>K143+K147+K144+K148+K145+K146</f>
        <v>10505.349989999999</v>
      </c>
      <c r="L142" s="218">
        <f>L143+L147+L144+L148+L145+L146</f>
        <v>5331.4796</v>
      </c>
      <c r="M142" s="218">
        <f>M143+M147+M144+M148+M145+M146</f>
        <v>0</v>
      </c>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54"/>
    </row>
    <row r="143" spans="1:61" s="24" customFormat="1" ht="73.5" customHeight="1">
      <c r="A143" s="290"/>
      <c r="B143" s="280" t="s">
        <v>81</v>
      </c>
      <c r="C143" s="2" t="s">
        <v>427</v>
      </c>
      <c r="D143" s="2" t="s">
        <v>75</v>
      </c>
      <c r="E143" s="105" t="s">
        <v>278</v>
      </c>
      <c r="F143" s="2" t="s">
        <v>42</v>
      </c>
      <c r="G143" s="318" t="s">
        <v>552</v>
      </c>
      <c r="H143" s="293" t="s">
        <v>305</v>
      </c>
      <c r="I143" s="293" t="s">
        <v>877</v>
      </c>
      <c r="J143" s="277">
        <f>2077.234+49.6-1601.33+0.02392+2090.25157</f>
        <v>2615.77949</v>
      </c>
      <c r="K143" s="277">
        <f>2077.234+49.6-1601.33+0.02392+2090.25157</f>
        <v>2615.77949</v>
      </c>
      <c r="L143" s="277">
        <v>0</v>
      </c>
      <c r="M143" s="277">
        <v>0</v>
      </c>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54"/>
    </row>
    <row r="144" spans="1:61" s="24" customFormat="1" ht="73.5" customHeight="1">
      <c r="A144" s="292"/>
      <c r="B144" s="312"/>
      <c r="C144" s="2" t="s">
        <v>427</v>
      </c>
      <c r="D144" s="2" t="s">
        <v>75</v>
      </c>
      <c r="E144" s="105" t="s">
        <v>278</v>
      </c>
      <c r="F144" s="2" t="s">
        <v>276</v>
      </c>
      <c r="G144" s="319"/>
      <c r="H144" s="294"/>
      <c r="I144" s="294"/>
      <c r="J144" s="219">
        <f>103.953-13.95-0.05+0.047-15</f>
        <v>75</v>
      </c>
      <c r="K144" s="219">
        <f>103.953-13.95-0.05+0.047-15</f>
        <v>75</v>
      </c>
      <c r="L144" s="277">
        <v>0</v>
      </c>
      <c r="M144" s="277">
        <v>0</v>
      </c>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54"/>
    </row>
    <row r="145" spans="1:61" s="24" customFormat="1" ht="39.75" customHeight="1">
      <c r="A145" s="137"/>
      <c r="B145" s="298" t="s">
        <v>360</v>
      </c>
      <c r="C145" s="2" t="s">
        <v>427</v>
      </c>
      <c r="D145" s="2" t="s">
        <v>75</v>
      </c>
      <c r="E145" s="135" t="s">
        <v>361</v>
      </c>
      <c r="F145" s="2" t="s">
        <v>42</v>
      </c>
      <c r="G145" s="318" t="s">
        <v>1002</v>
      </c>
      <c r="H145" s="293" t="s">
        <v>1003</v>
      </c>
      <c r="I145" s="293" t="s">
        <v>1004</v>
      </c>
      <c r="J145" s="219">
        <f>347+104.59+1354.7665+0.005</f>
        <v>1806.3615</v>
      </c>
      <c r="K145" s="219">
        <f>347+104.59+1354.7665+0.005</f>
        <v>1806.3615</v>
      </c>
      <c r="L145" s="219">
        <f>1332.8699+3998.6097</f>
        <v>5331.4796</v>
      </c>
      <c r="M145" s="246">
        <v>0</v>
      </c>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54"/>
    </row>
    <row r="146" spans="1:61" s="24" customFormat="1" ht="73.5" customHeight="1">
      <c r="A146" s="137"/>
      <c r="B146" s="299"/>
      <c r="C146" s="2" t="s">
        <v>427</v>
      </c>
      <c r="D146" s="2" t="s">
        <v>75</v>
      </c>
      <c r="E146" s="135" t="s">
        <v>361</v>
      </c>
      <c r="F146" s="2" t="s">
        <v>276</v>
      </c>
      <c r="G146" s="319"/>
      <c r="H146" s="294"/>
      <c r="I146" s="294"/>
      <c r="J146" s="219">
        <f>1500-104.59+4186.22-0.005</f>
        <v>5581.625</v>
      </c>
      <c r="K146" s="219">
        <f>1500-104.59+4186.22-0.005</f>
        <v>5581.625</v>
      </c>
      <c r="L146" s="219">
        <v>0</v>
      </c>
      <c r="M146" s="246">
        <v>0</v>
      </c>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54"/>
    </row>
    <row r="147" spans="1:61" s="24" customFormat="1" ht="72.75" customHeight="1">
      <c r="A147" s="290"/>
      <c r="B147" s="280" t="s">
        <v>82</v>
      </c>
      <c r="C147" s="2" t="s">
        <v>427</v>
      </c>
      <c r="D147" s="2" t="s">
        <v>75</v>
      </c>
      <c r="E147" s="105" t="s">
        <v>279</v>
      </c>
      <c r="F147" s="2" t="s">
        <v>42</v>
      </c>
      <c r="G147" s="318" t="s">
        <v>553</v>
      </c>
      <c r="H147" s="293" t="s">
        <v>306</v>
      </c>
      <c r="I147" s="293" t="s">
        <v>554</v>
      </c>
      <c r="J147" s="277">
        <f>252.749+39.112</f>
        <v>291.861</v>
      </c>
      <c r="K147" s="277">
        <f>252.749+39.112</f>
        <v>291.861</v>
      </c>
      <c r="L147" s="277">
        <v>0</v>
      </c>
      <c r="M147" s="277">
        <v>0</v>
      </c>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54"/>
    </row>
    <row r="148" spans="1:61" s="24" customFormat="1" ht="72.75" customHeight="1">
      <c r="A148" s="292"/>
      <c r="B148" s="312"/>
      <c r="C148" s="2" t="s">
        <v>427</v>
      </c>
      <c r="D148" s="2" t="s">
        <v>75</v>
      </c>
      <c r="E148" s="105" t="s">
        <v>279</v>
      </c>
      <c r="F148" s="2" t="s">
        <v>276</v>
      </c>
      <c r="G148" s="319"/>
      <c r="H148" s="294"/>
      <c r="I148" s="294"/>
      <c r="J148" s="219">
        <v>134.723</v>
      </c>
      <c r="K148" s="277">
        <v>134.723</v>
      </c>
      <c r="L148" s="277">
        <v>0</v>
      </c>
      <c r="M148" s="277">
        <v>0</v>
      </c>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54"/>
    </row>
    <row r="149" spans="1:62" s="58" customFormat="1" ht="180" customHeight="1">
      <c r="A149" s="78" t="s">
        <v>158</v>
      </c>
      <c r="B149" s="79" t="s">
        <v>159</v>
      </c>
      <c r="C149" s="78"/>
      <c r="D149" s="78"/>
      <c r="E149" s="86"/>
      <c r="F149" s="86"/>
      <c r="G149" s="81"/>
      <c r="H149" s="78"/>
      <c r="I149" s="78"/>
      <c r="J149" s="212">
        <f>J150</f>
        <v>59559.96722</v>
      </c>
      <c r="K149" s="212">
        <f>K150</f>
        <v>59559.96722</v>
      </c>
      <c r="L149" s="212">
        <f>L150</f>
        <v>61306.270469999996</v>
      </c>
      <c r="M149" s="212">
        <f>M150</f>
        <v>41961.3391</v>
      </c>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54"/>
      <c r="BJ149" s="24"/>
    </row>
    <row r="150" spans="1:62" s="58" customFormat="1" ht="30" customHeight="1">
      <c r="A150" s="2"/>
      <c r="B150" s="11" t="s">
        <v>307</v>
      </c>
      <c r="C150" s="57"/>
      <c r="D150" s="2"/>
      <c r="E150" s="2" t="s">
        <v>74</v>
      </c>
      <c r="F150" s="57"/>
      <c r="G150" s="27"/>
      <c r="H150" s="2"/>
      <c r="I150" s="2"/>
      <c r="J150" s="213">
        <f>J151+J160+J163</f>
        <v>59559.96722</v>
      </c>
      <c r="K150" s="213">
        <f>K151+K160+K163</f>
        <v>59559.96722</v>
      </c>
      <c r="L150" s="213">
        <f>L151+L160+L163</f>
        <v>61306.270469999996</v>
      </c>
      <c r="M150" s="213">
        <f>M151+M160+M163</f>
        <v>41961.3391</v>
      </c>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54"/>
      <c r="BJ150" s="24"/>
    </row>
    <row r="151" spans="1:61" s="24" customFormat="1" ht="30" customHeight="1">
      <c r="A151" s="2"/>
      <c r="B151" s="6" t="s">
        <v>308</v>
      </c>
      <c r="C151" s="57"/>
      <c r="D151" s="2"/>
      <c r="E151" s="2" t="s">
        <v>91</v>
      </c>
      <c r="F151" s="57"/>
      <c r="G151" s="5"/>
      <c r="H151" s="4"/>
      <c r="I151" s="2"/>
      <c r="J151" s="213">
        <f>J152+J153+J155+J156+J157+J158+J159+J154</f>
        <v>48217.23569</v>
      </c>
      <c r="K151" s="213">
        <f>K152+K153+K155+K156+K157+K158+K159+K154</f>
        <v>48217.23569</v>
      </c>
      <c r="L151" s="213">
        <f>L152+L153+L155+L156+L157+L158+L159+L154</f>
        <v>40662.3161</v>
      </c>
      <c r="M151" s="213">
        <f>M152+M153+M155+M156+M157+M158+M159+M154</f>
        <v>41611.3391</v>
      </c>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54"/>
    </row>
    <row r="152" spans="1:65" s="56" customFormat="1" ht="177" customHeight="1">
      <c r="A152" s="2"/>
      <c r="B152" s="11" t="s">
        <v>86</v>
      </c>
      <c r="C152" s="2" t="s">
        <v>427</v>
      </c>
      <c r="D152" s="2" t="s">
        <v>73</v>
      </c>
      <c r="E152" s="2" t="s">
        <v>309</v>
      </c>
      <c r="F152" s="2" t="s">
        <v>42</v>
      </c>
      <c r="G152" s="92" t="s">
        <v>555</v>
      </c>
      <c r="H152" s="1" t="s">
        <v>366</v>
      </c>
      <c r="I152" s="1" t="s">
        <v>550</v>
      </c>
      <c r="J152" s="277">
        <v>16279.71182</v>
      </c>
      <c r="K152" s="277">
        <v>16279.71182</v>
      </c>
      <c r="L152" s="277">
        <f>13068.371+2070.83-0.03+0.0001</f>
        <v>15139.171099999998</v>
      </c>
      <c r="M152" s="277">
        <f>13068.371+2070.83-0.03+0.0001</f>
        <v>15139.171099999998</v>
      </c>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63"/>
    </row>
    <row r="153" spans="1:64" ht="223.5" customHeight="1">
      <c r="A153" s="105"/>
      <c r="B153" s="12" t="s">
        <v>365</v>
      </c>
      <c r="C153" s="2" t="s">
        <v>427</v>
      </c>
      <c r="D153" s="106" t="s">
        <v>73</v>
      </c>
      <c r="E153" s="2" t="s">
        <v>352</v>
      </c>
      <c r="F153" s="2" t="s">
        <v>42</v>
      </c>
      <c r="G153" s="92" t="s">
        <v>881</v>
      </c>
      <c r="H153" s="2" t="s">
        <v>879</v>
      </c>
      <c r="I153" s="1" t="s">
        <v>882</v>
      </c>
      <c r="J153" s="277">
        <f>247.672+3302.3+20.13-0.048+209.094</f>
        <v>3779.1480000000006</v>
      </c>
      <c r="K153" s="277">
        <f>247.672+3302.3+20.13-0.048+209.094</f>
        <v>3779.1480000000006</v>
      </c>
      <c r="L153" s="277">
        <f>247.672+3251.9+16.03-0.034</f>
        <v>3515.568</v>
      </c>
      <c r="M153" s="277">
        <f>247.672+3251.9+16.03-0.034</f>
        <v>3515.568</v>
      </c>
      <c r="BI153" s="26"/>
      <c r="BJ153" s="26"/>
      <c r="BK153" s="26"/>
      <c r="BL153" s="26"/>
    </row>
    <row r="154" spans="1:64" ht="151.5" customHeight="1">
      <c r="A154" s="105"/>
      <c r="B154" s="12" t="s">
        <v>646</v>
      </c>
      <c r="C154" s="2" t="s">
        <v>427</v>
      </c>
      <c r="D154" s="106" t="s">
        <v>73</v>
      </c>
      <c r="E154" s="10" t="s">
        <v>647</v>
      </c>
      <c r="F154" s="2" t="s">
        <v>42</v>
      </c>
      <c r="G154" s="138" t="s">
        <v>880</v>
      </c>
      <c r="H154" s="2" t="s">
        <v>879</v>
      </c>
      <c r="I154" s="106" t="s">
        <v>878</v>
      </c>
      <c r="J154" s="277">
        <f>20262.4-463.086-75.5</f>
        <v>19723.814000000002</v>
      </c>
      <c r="K154" s="277">
        <f>20262.4-463.086-75.5</f>
        <v>19723.814000000002</v>
      </c>
      <c r="L154" s="277">
        <f>20561.1-0.047</f>
        <v>20561.053</v>
      </c>
      <c r="M154" s="277">
        <f>20855.6+654.476</f>
        <v>21510.075999999997</v>
      </c>
      <c r="BI154" s="26"/>
      <c r="BJ154" s="26"/>
      <c r="BK154" s="26"/>
      <c r="BL154" s="26"/>
    </row>
    <row r="155" spans="1:64" ht="49.5" customHeight="1">
      <c r="A155" s="57"/>
      <c r="B155" s="7" t="s">
        <v>76</v>
      </c>
      <c r="C155" s="2" t="s">
        <v>427</v>
      </c>
      <c r="D155" s="2" t="s">
        <v>73</v>
      </c>
      <c r="E155" s="2" t="s">
        <v>312</v>
      </c>
      <c r="F155" s="2" t="s">
        <v>42</v>
      </c>
      <c r="G155" s="138" t="s">
        <v>542</v>
      </c>
      <c r="H155" s="2" t="s">
        <v>311</v>
      </c>
      <c r="I155" s="106" t="s">
        <v>445</v>
      </c>
      <c r="J155" s="277">
        <f>95-50-45</f>
        <v>0</v>
      </c>
      <c r="K155" s="277">
        <f>95-50-45</f>
        <v>0</v>
      </c>
      <c r="L155" s="277">
        <v>95</v>
      </c>
      <c r="M155" s="277">
        <v>95</v>
      </c>
      <c r="BI155" s="26"/>
      <c r="BJ155" s="26"/>
      <c r="BK155" s="26"/>
      <c r="BL155" s="26"/>
    </row>
    <row r="156" spans="1:64" ht="156.75" customHeight="1">
      <c r="A156" s="2"/>
      <c r="B156" s="11" t="s">
        <v>77</v>
      </c>
      <c r="C156" s="2" t="s">
        <v>427</v>
      </c>
      <c r="D156" s="2" t="s">
        <v>73</v>
      </c>
      <c r="E156" s="2" t="s">
        <v>313</v>
      </c>
      <c r="F156" s="2" t="s">
        <v>42</v>
      </c>
      <c r="G156" s="3" t="s">
        <v>641</v>
      </c>
      <c r="H156" s="4" t="s">
        <v>891</v>
      </c>
      <c r="I156" s="2" t="s">
        <v>892</v>
      </c>
      <c r="J156" s="277">
        <f>855.4-428.31255</f>
        <v>427.08745</v>
      </c>
      <c r="K156" s="277">
        <f>855.4-428.31255</f>
        <v>427.08745</v>
      </c>
      <c r="L156" s="277">
        <v>0</v>
      </c>
      <c r="M156" s="277">
        <v>0</v>
      </c>
      <c r="BI156" s="26"/>
      <c r="BJ156" s="26"/>
      <c r="BK156" s="26"/>
      <c r="BL156" s="26"/>
    </row>
    <row r="157" spans="1:64" ht="42.75" customHeight="1">
      <c r="A157" s="2"/>
      <c r="B157" s="11" t="s">
        <v>78</v>
      </c>
      <c r="C157" s="2" t="s">
        <v>427</v>
      </c>
      <c r="D157" s="2" t="s">
        <v>73</v>
      </c>
      <c r="E157" s="2" t="s">
        <v>314</v>
      </c>
      <c r="F157" s="2" t="s">
        <v>42</v>
      </c>
      <c r="G157" s="283" t="s">
        <v>551</v>
      </c>
      <c r="H157" s="293" t="s">
        <v>368</v>
      </c>
      <c r="I157" s="290" t="s">
        <v>883</v>
      </c>
      <c r="J157" s="277">
        <f>4061+1197.524-441.0305-103</f>
        <v>4714.4935</v>
      </c>
      <c r="K157" s="277">
        <f>4061+1197.524-441.0305-103</f>
        <v>4714.4935</v>
      </c>
      <c r="L157" s="277">
        <v>0</v>
      </c>
      <c r="M157" s="277">
        <v>0</v>
      </c>
      <c r="BI157" s="26"/>
      <c r="BJ157" s="26"/>
      <c r="BK157" s="26"/>
      <c r="BL157" s="26"/>
    </row>
    <row r="158" spans="1:64" ht="42.75" customHeight="1">
      <c r="A158" s="2"/>
      <c r="B158" s="11" t="s">
        <v>315</v>
      </c>
      <c r="C158" s="2" t="s">
        <v>427</v>
      </c>
      <c r="D158" s="2" t="s">
        <v>11</v>
      </c>
      <c r="E158" s="2" t="s">
        <v>350</v>
      </c>
      <c r="F158" s="2" t="s">
        <v>42</v>
      </c>
      <c r="G158" s="284"/>
      <c r="H158" s="295"/>
      <c r="I158" s="291"/>
      <c r="J158" s="277">
        <f>1367.52+441.0305-34</f>
        <v>1774.5505</v>
      </c>
      <c r="K158" s="277">
        <f>1367.52+441.0305-34</f>
        <v>1774.5505</v>
      </c>
      <c r="L158" s="277">
        <f>1367.52-16+0.004</f>
        <v>1351.524</v>
      </c>
      <c r="M158" s="277">
        <f>1367.52-16+0.004</f>
        <v>1351.524</v>
      </c>
      <c r="BI158" s="26"/>
      <c r="BJ158" s="26"/>
      <c r="BK158" s="26"/>
      <c r="BL158" s="26"/>
    </row>
    <row r="159" spans="1:65" s="24" customFormat="1" ht="42.75" customHeight="1">
      <c r="A159" s="106"/>
      <c r="B159" s="120" t="s">
        <v>108</v>
      </c>
      <c r="C159" s="2" t="s">
        <v>427</v>
      </c>
      <c r="D159" s="2" t="s">
        <v>73</v>
      </c>
      <c r="E159" s="2" t="s">
        <v>349</v>
      </c>
      <c r="F159" s="2" t="s">
        <v>42</v>
      </c>
      <c r="G159" s="300"/>
      <c r="H159" s="294"/>
      <c r="I159" s="292"/>
      <c r="J159" s="277">
        <f>1398.8-20.1+0.018+205.754-66.04158</f>
        <v>1518.43042</v>
      </c>
      <c r="K159" s="277">
        <f>1398.8-20.1+0.018+205.754-66.04158</f>
        <v>1518.43042</v>
      </c>
      <c r="L159" s="277">
        <v>0</v>
      </c>
      <c r="M159" s="277">
        <v>0</v>
      </c>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54"/>
    </row>
    <row r="160" spans="1:64" ht="30" customHeight="1">
      <c r="A160" s="29"/>
      <c r="B160" s="11" t="s">
        <v>79</v>
      </c>
      <c r="C160" s="2"/>
      <c r="D160" s="2"/>
      <c r="E160" s="2" t="s">
        <v>90</v>
      </c>
      <c r="F160" s="57"/>
      <c r="G160" s="29"/>
      <c r="H160" s="11"/>
      <c r="I160" s="11"/>
      <c r="J160" s="213">
        <f>J162+J161</f>
        <v>377.2</v>
      </c>
      <c r="K160" s="213">
        <f>K162+K161</f>
        <v>377.2</v>
      </c>
      <c r="L160" s="213">
        <f>L162</f>
        <v>350</v>
      </c>
      <c r="M160" s="213">
        <f>M162</f>
        <v>350</v>
      </c>
      <c r="BI160" s="26"/>
      <c r="BJ160" s="26"/>
      <c r="BK160" s="26"/>
      <c r="BL160" s="26"/>
    </row>
    <row r="161" spans="1:64" ht="30" customHeight="1">
      <c r="A161" s="29"/>
      <c r="B161" s="11" t="s">
        <v>80</v>
      </c>
      <c r="C161" s="2" t="s">
        <v>427</v>
      </c>
      <c r="D161" s="2" t="s">
        <v>73</v>
      </c>
      <c r="E161" s="2" t="s">
        <v>284</v>
      </c>
      <c r="F161" s="2" t="s">
        <v>42</v>
      </c>
      <c r="G161" s="314" t="s">
        <v>885</v>
      </c>
      <c r="H161" s="301" t="s">
        <v>369</v>
      </c>
      <c r="I161" s="290" t="s">
        <v>883</v>
      </c>
      <c r="J161" s="213">
        <v>5.5</v>
      </c>
      <c r="K161" s="213">
        <v>5.5</v>
      </c>
      <c r="L161" s="213">
        <v>0</v>
      </c>
      <c r="M161" s="213">
        <v>0</v>
      </c>
      <c r="BI161" s="26"/>
      <c r="BJ161" s="26"/>
      <c r="BK161" s="26"/>
      <c r="BL161" s="26"/>
    </row>
    <row r="162" spans="1:65" s="24" customFormat="1" ht="108" customHeight="1">
      <c r="A162" s="2"/>
      <c r="B162" s="120" t="s">
        <v>317</v>
      </c>
      <c r="C162" s="2" t="s">
        <v>427</v>
      </c>
      <c r="D162" s="2" t="s">
        <v>73</v>
      </c>
      <c r="E162" s="2" t="s">
        <v>286</v>
      </c>
      <c r="F162" s="2" t="s">
        <v>42</v>
      </c>
      <c r="G162" s="316"/>
      <c r="H162" s="302"/>
      <c r="I162" s="292"/>
      <c r="J162" s="277">
        <f>350-40+11.7+50</f>
        <v>371.7</v>
      </c>
      <c r="K162" s="277">
        <f>350-40+11.7+50</f>
        <v>371.7</v>
      </c>
      <c r="L162" s="277">
        <v>350</v>
      </c>
      <c r="M162" s="277">
        <v>350</v>
      </c>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54"/>
    </row>
    <row r="163" spans="1:65" s="24" customFormat="1" ht="30" customHeight="1">
      <c r="A163" s="29"/>
      <c r="B163" s="11" t="s">
        <v>318</v>
      </c>
      <c r="C163" s="57"/>
      <c r="D163" s="2"/>
      <c r="E163" s="2" t="s">
        <v>89</v>
      </c>
      <c r="F163" s="57"/>
      <c r="G163" s="29"/>
      <c r="H163" s="29"/>
      <c r="I163" s="29"/>
      <c r="J163" s="213">
        <f>J164+J166+J165+J168</f>
        <v>10965.53153</v>
      </c>
      <c r="K163" s="213">
        <f>K164+K166+K165+K168</f>
        <v>10965.53153</v>
      </c>
      <c r="L163" s="213">
        <f>SUM(L164:L168)</f>
        <v>20293.95437</v>
      </c>
      <c r="M163" s="213">
        <f>M164+M166+M165</f>
        <v>0</v>
      </c>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54"/>
    </row>
    <row r="164" spans="1:65" s="24" customFormat="1" ht="138.75" customHeight="1">
      <c r="A164" s="106"/>
      <c r="B164" s="120" t="s">
        <v>81</v>
      </c>
      <c r="C164" s="2" t="s">
        <v>427</v>
      </c>
      <c r="D164" s="2" t="s">
        <v>73</v>
      </c>
      <c r="E164" s="2" t="s">
        <v>278</v>
      </c>
      <c r="F164" s="2" t="s">
        <v>42</v>
      </c>
      <c r="G164" s="27" t="s">
        <v>552</v>
      </c>
      <c r="H164" s="106" t="s">
        <v>367</v>
      </c>
      <c r="I164" s="2" t="s">
        <v>884</v>
      </c>
      <c r="J164" s="277">
        <f>1956.586-35.6-1650.99+0.004+990.23043+307.39+276.222</f>
        <v>1843.84243</v>
      </c>
      <c r="K164" s="277">
        <f>1956.586-35.6-1650.99+0.004+990.23043+307.39+276.222</f>
        <v>1843.84243</v>
      </c>
      <c r="L164" s="277">
        <v>0</v>
      </c>
      <c r="M164" s="277">
        <v>0</v>
      </c>
      <c r="N164" s="26"/>
      <c r="O164" s="26"/>
      <c r="P164" s="123"/>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54"/>
    </row>
    <row r="165" spans="1:65" s="24" customFormat="1" ht="119.25" customHeight="1">
      <c r="A165" s="159"/>
      <c r="B165" s="12" t="s">
        <v>360</v>
      </c>
      <c r="C165" s="2" t="s">
        <v>427</v>
      </c>
      <c r="D165" s="2" t="s">
        <v>73</v>
      </c>
      <c r="E165" s="135" t="s">
        <v>361</v>
      </c>
      <c r="F165" s="2" t="s">
        <v>42</v>
      </c>
      <c r="G165" s="158" t="s">
        <v>886</v>
      </c>
      <c r="H165" s="159" t="s">
        <v>575</v>
      </c>
      <c r="I165" s="1" t="s">
        <v>893</v>
      </c>
      <c r="J165" s="277">
        <v>6488.302</v>
      </c>
      <c r="K165" s="277">
        <v>6488.302</v>
      </c>
      <c r="L165" s="277">
        <v>0</v>
      </c>
      <c r="M165" s="277">
        <v>0</v>
      </c>
      <c r="N165" s="26"/>
      <c r="O165" s="26"/>
      <c r="P165" s="123"/>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54"/>
    </row>
    <row r="166" spans="1:65" s="24" customFormat="1" ht="146.25" customHeight="1">
      <c r="A166" s="1"/>
      <c r="B166" s="115" t="s">
        <v>82</v>
      </c>
      <c r="C166" s="2" t="s">
        <v>427</v>
      </c>
      <c r="D166" s="2" t="s">
        <v>73</v>
      </c>
      <c r="E166" s="106" t="s">
        <v>279</v>
      </c>
      <c r="F166" s="2" t="s">
        <v>42</v>
      </c>
      <c r="G166" s="97" t="s">
        <v>556</v>
      </c>
      <c r="H166" s="1" t="s">
        <v>576</v>
      </c>
      <c r="I166" s="1" t="s">
        <v>884</v>
      </c>
      <c r="J166" s="277">
        <f>1045.964+0.036-0.036</f>
        <v>1045.964</v>
      </c>
      <c r="K166" s="277">
        <f>1045.964+0.036-0.036</f>
        <v>1045.964</v>
      </c>
      <c r="L166" s="277">
        <v>0</v>
      </c>
      <c r="M166" s="277">
        <v>0</v>
      </c>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54"/>
    </row>
    <row r="167" spans="1:65" s="24" customFormat="1" ht="66.75" customHeight="1">
      <c r="A167" s="1"/>
      <c r="B167" s="115" t="s">
        <v>692</v>
      </c>
      <c r="C167" s="2" t="s">
        <v>427</v>
      </c>
      <c r="D167" s="2" t="s">
        <v>73</v>
      </c>
      <c r="E167" s="106" t="s">
        <v>826</v>
      </c>
      <c r="F167" s="2" t="s">
        <v>42</v>
      </c>
      <c r="G167" s="97" t="s">
        <v>701</v>
      </c>
      <c r="H167" s="1" t="s">
        <v>888</v>
      </c>
      <c r="I167" s="1" t="s">
        <v>887</v>
      </c>
      <c r="J167" s="277">
        <v>0</v>
      </c>
      <c r="K167" s="277">
        <v>0</v>
      </c>
      <c r="L167" s="277">
        <f>7887.04963+0.39749+62.73985</f>
        <v>7950.186970000001</v>
      </c>
      <c r="M167" s="277">
        <v>0</v>
      </c>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54"/>
    </row>
    <row r="168" spans="1:65" s="24" customFormat="1" ht="182.25" customHeight="1">
      <c r="A168" s="1"/>
      <c r="B168" s="11" t="s">
        <v>761</v>
      </c>
      <c r="C168" s="2" t="s">
        <v>427</v>
      </c>
      <c r="D168" s="2" t="s">
        <v>73</v>
      </c>
      <c r="E168" s="2" t="s">
        <v>762</v>
      </c>
      <c r="F168" s="2" t="s">
        <v>42</v>
      </c>
      <c r="G168" s="92" t="s">
        <v>889</v>
      </c>
      <c r="H168" s="1" t="s">
        <v>890</v>
      </c>
      <c r="I168" s="1" t="s">
        <v>830</v>
      </c>
      <c r="J168" s="277">
        <f>1587.4231</f>
        <v>1587.4231</v>
      </c>
      <c r="K168" s="277">
        <f>1587.4231</f>
        <v>1587.4231</v>
      </c>
      <c r="L168" s="277">
        <f>3034.64092+9103.92274+205.20374</f>
        <v>12343.7674</v>
      </c>
      <c r="M168" s="277">
        <v>0</v>
      </c>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54"/>
    </row>
    <row r="169" spans="1:62" s="58" customFormat="1" ht="180" customHeight="1">
      <c r="A169" s="78" t="s">
        <v>160</v>
      </c>
      <c r="B169" s="79" t="s">
        <v>161</v>
      </c>
      <c r="C169" s="78"/>
      <c r="D169" s="78"/>
      <c r="E169" s="86"/>
      <c r="F169" s="86"/>
      <c r="G169" s="81"/>
      <c r="H169" s="78"/>
      <c r="I169" s="78"/>
      <c r="J169" s="212">
        <f>J170</f>
        <v>9210.94698</v>
      </c>
      <c r="K169" s="212">
        <f>K170</f>
        <v>9210.94698</v>
      </c>
      <c r="L169" s="212">
        <f>L170</f>
        <v>5114.42608</v>
      </c>
      <c r="M169" s="212">
        <f>M170</f>
        <v>8149.067</v>
      </c>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54"/>
      <c r="BJ169" s="24"/>
    </row>
    <row r="170" spans="1:65" s="24" customFormat="1" ht="30" customHeight="1">
      <c r="A170" s="2"/>
      <c r="B170" s="11" t="s">
        <v>307</v>
      </c>
      <c r="C170" s="57"/>
      <c r="D170" s="2"/>
      <c r="E170" s="2" t="s">
        <v>74</v>
      </c>
      <c r="F170" s="57"/>
      <c r="G170" s="3"/>
      <c r="H170" s="2"/>
      <c r="I170" s="2"/>
      <c r="J170" s="213">
        <f>J171+J173</f>
        <v>9210.94698</v>
      </c>
      <c r="K170" s="213">
        <f>K171+K173</f>
        <v>9210.94698</v>
      </c>
      <c r="L170" s="213">
        <f>L171+L173</f>
        <v>5114.42608</v>
      </c>
      <c r="M170" s="213">
        <f>M171+M173</f>
        <v>8149.067</v>
      </c>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54"/>
    </row>
    <row r="171" spans="1:65" s="24" customFormat="1" ht="30" customHeight="1">
      <c r="A171" s="2"/>
      <c r="B171" s="6" t="s">
        <v>308</v>
      </c>
      <c r="C171" s="57"/>
      <c r="D171" s="2"/>
      <c r="E171" s="2" t="s">
        <v>91</v>
      </c>
      <c r="F171" s="57"/>
      <c r="G171" s="5"/>
      <c r="H171" s="4"/>
      <c r="I171" s="2"/>
      <c r="J171" s="213">
        <f>J172</f>
        <v>8061.39698</v>
      </c>
      <c r="K171" s="213">
        <f>K172</f>
        <v>8061.39698</v>
      </c>
      <c r="L171" s="213">
        <f>L172</f>
        <v>5114.42608</v>
      </c>
      <c r="M171" s="213">
        <f>M172</f>
        <v>8149.067</v>
      </c>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54"/>
    </row>
    <row r="172" spans="1:65" s="24" customFormat="1" ht="182.25" customHeight="1">
      <c r="A172" s="5"/>
      <c r="B172" s="11" t="s">
        <v>105</v>
      </c>
      <c r="C172" s="2" t="s">
        <v>427</v>
      </c>
      <c r="D172" s="2" t="s">
        <v>73</v>
      </c>
      <c r="E172" s="2" t="s">
        <v>319</v>
      </c>
      <c r="F172" s="2" t="s">
        <v>42</v>
      </c>
      <c r="G172" s="92" t="s">
        <v>555</v>
      </c>
      <c r="H172" s="1" t="s">
        <v>311</v>
      </c>
      <c r="I172" s="1" t="s">
        <v>550</v>
      </c>
      <c r="J172" s="277">
        <v>8061.39698</v>
      </c>
      <c r="K172" s="277">
        <v>8061.39698</v>
      </c>
      <c r="L172" s="277">
        <f>10219.867-2070.8-3034.64092</f>
        <v>5114.42608</v>
      </c>
      <c r="M172" s="277">
        <f>10219.867-2070.8</f>
        <v>8149.067</v>
      </c>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54"/>
    </row>
    <row r="173" spans="1:65" s="24" customFormat="1" ht="45" customHeight="1">
      <c r="A173" s="5"/>
      <c r="B173" s="6" t="s">
        <v>763</v>
      </c>
      <c r="C173" s="57"/>
      <c r="D173" s="2"/>
      <c r="E173" s="2" t="s">
        <v>89</v>
      </c>
      <c r="F173" s="57"/>
      <c r="G173" s="5"/>
      <c r="H173" s="4"/>
      <c r="I173" s="2"/>
      <c r="J173" s="213">
        <f>J174</f>
        <v>1149.55</v>
      </c>
      <c r="K173" s="213">
        <f>K174</f>
        <v>1149.55</v>
      </c>
      <c r="L173" s="213">
        <f>L174</f>
        <v>0</v>
      </c>
      <c r="M173" s="213">
        <f>M174</f>
        <v>0</v>
      </c>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54"/>
    </row>
    <row r="174" spans="1:65" s="24" customFormat="1" ht="182.25" customHeight="1">
      <c r="A174" s="5"/>
      <c r="B174" s="274" t="s">
        <v>761</v>
      </c>
      <c r="C174" s="106" t="s">
        <v>427</v>
      </c>
      <c r="D174" s="106" t="s">
        <v>73</v>
      </c>
      <c r="E174" s="106" t="s">
        <v>762</v>
      </c>
      <c r="F174" s="106" t="s">
        <v>42</v>
      </c>
      <c r="G174" s="273" t="s">
        <v>889</v>
      </c>
      <c r="H174" s="272" t="s">
        <v>890</v>
      </c>
      <c r="I174" s="272" t="s">
        <v>830</v>
      </c>
      <c r="J174" s="277">
        <v>1149.55</v>
      </c>
      <c r="K174" s="277">
        <v>1149.55</v>
      </c>
      <c r="L174" s="277">
        <v>0</v>
      </c>
      <c r="M174" s="277">
        <v>0</v>
      </c>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54"/>
    </row>
    <row r="175" spans="1:62" s="58" customFormat="1" ht="105" customHeight="1">
      <c r="A175" s="78" t="s">
        <v>162</v>
      </c>
      <c r="B175" s="79" t="s">
        <v>163</v>
      </c>
      <c r="C175" s="78"/>
      <c r="D175" s="78"/>
      <c r="E175" s="86"/>
      <c r="F175" s="86"/>
      <c r="G175" s="81"/>
      <c r="H175" s="78"/>
      <c r="I175" s="78"/>
      <c r="J175" s="212">
        <f>J176+J190</f>
        <v>13509.27388</v>
      </c>
      <c r="K175" s="212">
        <f>K176+K190</f>
        <v>13509.27388</v>
      </c>
      <c r="L175" s="212">
        <f>L176+L190</f>
        <v>13263.51</v>
      </c>
      <c r="M175" s="212">
        <f>M176+M190</f>
        <v>13263.51</v>
      </c>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54"/>
      <c r="BJ175" s="24"/>
    </row>
    <row r="176" spans="1:62" s="69" customFormat="1" ht="30" customHeight="1">
      <c r="A176" s="2"/>
      <c r="B176" s="11" t="s">
        <v>273</v>
      </c>
      <c r="C176" s="57"/>
      <c r="D176" s="2"/>
      <c r="E176" s="2" t="s">
        <v>74</v>
      </c>
      <c r="F176" s="57"/>
      <c r="G176" s="27"/>
      <c r="H176" s="2"/>
      <c r="I176" s="2"/>
      <c r="J176" s="213">
        <f>J179+J187+J177</f>
        <v>12883.17388</v>
      </c>
      <c r="K176" s="213">
        <f>K179+K187+K177</f>
        <v>12883.17388</v>
      </c>
      <c r="L176" s="213">
        <f>L179+L187+L177</f>
        <v>12637.41</v>
      </c>
      <c r="M176" s="213">
        <f>M179+M187+M177</f>
        <v>12637.41</v>
      </c>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row>
    <row r="177" spans="1:62" s="69" customFormat="1" ht="30" customHeight="1">
      <c r="A177" s="2"/>
      <c r="B177" s="11" t="s">
        <v>308</v>
      </c>
      <c r="C177" s="57"/>
      <c r="D177" s="2"/>
      <c r="E177" s="2" t="s">
        <v>91</v>
      </c>
      <c r="F177" s="57"/>
      <c r="G177" s="27"/>
      <c r="H177" s="2"/>
      <c r="I177" s="2"/>
      <c r="J177" s="213">
        <f>J178</f>
        <v>25</v>
      </c>
      <c r="K177" s="213">
        <f>K178</f>
        <v>25</v>
      </c>
      <c r="L177" s="213">
        <f>L178</f>
        <v>0</v>
      </c>
      <c r="M177" s="213">
        <f>M178</f>
        <v>0</v>
      </c>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row>
    <row r="178" spans="1:62" s="69" customFormat="1" ht="87" customHeight="1">
      <c r="A178" s="2"/>
      <c r="B178" s="11" t="s">
        <v>1010</v>
      </c>
      <c r="C178" s="2" t="s">
        <v>427</v>
      </c>
      <c r="D178" s="1" t="s">
        <v>11</v>
      </c>
      <c r="E178" s="1" t="s">
        <v>1009</v>
      </c>
      <c r="F178" s="1" t="s">
        <v>42</v>
      </c>
      <c r="G178" s="27" t="s">
        <v>1011</v>
      </c>
      <c r="H178" s="106" t="s">
        <v>311</v>
      </c>
      <c r="I178" s="2" t="s">
        <v>1012</v>
      </c>
      <c r="J178" s="213">
        <v>25</v>
      </c>
      <c r="K178" s="213">
        <v>25</v>
      </c>
      <c r="L178" s="213">
        <v>0</v>
      </c>
      <c r="M178" s="213">
        <v>0</v>
      </c>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row>
    <row r="179" spans="1:13" ht="30" customHeight="1">
      <c r="A179" s="29"/>
      <c r="B179" s="11" t="s">
        <v>79</v>
      </c>
      <c r="C179" s="57"/>
      <c r="D179" s="2"/>
      <c r="E179" s="2" t="s">
        <v>90</v>
      </c>
      <c r="F179" s="57"/>
      <c r="G179" s="76"/>
      <c r="H179" s="76"/>
      <c r="I179" s="76"/>
      <c r="J179" s="213">
        <f>J180+J181+J183+J184+J185+J186</f>
        <v>12747.89588</v>
      </c>
      <c r="K179" s="213">
        <f>K180+K181+K183+K184+K185+K186</f>
        <v>12747.89588</v>
      </c>
      <c r="L179" s="213">
        <f>L180+L181+L183+L184+L185+L186</f>
        <v>12637.41</v>
      </c>
      <c r="M179" s="213">
        <f>M180+M181+M183+M184+M185+M186</f>
        <v>12637.41</v>
      </c>
    </row>
    <row r="180" spans="1:61" s="24" customFormat="1" ht="132.75" customHeight="1">
      <c r="A180" s="114"/>
      <c r="B180" s="110" t="s">
        <v>280</v>
      </c>
      <c r="C180" s="2" t="s">
        <v>427</v>
      </c>
      <c r="D180" s="1" t="s">
        <v>98</v>
      </c>
      <c r="E180" s="1" t="s">
        <v>283</v>
      </c>
      <c r="F180" s="1" t="s">
        <v>42</v>
      </c>
      <c r="G180" s="27" t="s">
        <v>558</v>
      </c>
      <c r="H180" s="106" t="s">
        <v>367</v>
      </c>
      <c r="I180" s="106" t="s">
        <v>894</v>
      </c>
      <c r="J180" s="279">
        <v>90</v>
      </c>
      <c r="K180" s="279">
        <v>90</v>
      </c>
      <c r="L180" s="279">
        <v>0</v>
      </c>
      <c r="M180" s="279">
        <v>0</v>
      </c>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54"/>
    </row>
    <row r="181" spans="1:61" s="24" customFormat="1" ht="168" customHeight="1">
      <c r="A181" s="290"/>
      <c r="B181" s="280" t="s">
        <v>282</v>
      </c>
      <c r="C181" s="290" t="s">
        <v>427</v>
      </c>
      <c r="D181" s="290" t="s">
        <v>98</v>
      </c>
      <c r="E181" s="290" t="s">
        <v>281</v>
      </c>
      <c r="F181" s="290" t="s">
        <v>42</v>
      </c>
      <c r="G181" s="335" t="s">
        <v>559</v>
      </c>
      <c r="H181" s="345" t="s">
        <v>370</v>
      </c>
      <c r="I181" s="301" t="s">
        <v>560</v>
      </c>
      <c r="J181" s="342">
        <f>11972.41+177.68588</f>
        <v>12150.09588</v>
      </c>
      <c r="K181" s="342">
        <f>11972.41+177.68588</f>
        <v>12150.09588</v>
      </c>
      <c r="L181" s="342">
        <v>11972.41</v>
      </c>
      <c r="M181" s="342">
        <v>11972.41</v>
      </c>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54"/>
    </row>
    <row r="182" spans="1:61" s="24" customFormat="1" ht="6.75" customHeight="1">
      <c r="A182" s="292"/>
      <c r="B182" s="312"/>
      <c r="C182" s="292"/>
      <c r="D182" s="292"/>
      <c r="E182" s="292"/>
      <c r="F182" s="292"/>
      <c r="G182" s="336"/>
      <c r="H182" s="346"/>
      <c r="I182" s="302"/>
      <c r="J182" s="343"/>
      <c r="K182" s="343"/>
      <c r="L182" s="343"/>
      <c r="M182" s="343"/>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54"/>
    </row>
    <row r="183" spans="1:61" s="24" customFormat="1" ht="27.75" customHeight="1">
      <c r="A183" s="2"/>
      <c r="B183" s="7" t="s">
        <v>80</v>
      </c>
      <c r="C183" s="2" t="s">
        <v>427</v>
      </c>
      <c r="D183" s="2" t="s">
        <v>98</v>
      </c>
      <c r="E183" s="10" t="s">
        <v>284</v>
      </c>
      <c r="F183" s="2" t="s">
        <v>42</v>
      </c>
      <c r="G183" s="314" t="s">
        <v>675</v>
      </c>
      <c r="H183" s="290" t="s">
        <v>895</v>
      </c>
      <c r="I183" s="290" t="s">
        <v>894</v>
      </c>
      <c r="J183" s="277">
        <f>235-25-5.5+4-29.5</f>
        <v>179</v>
      </c>
      <c r="K183" s="277">
        <f>235-25-5.5+4-29.5</f>
        <v>179</v>
      </c>
      <c r="L183" s="277">
        <v>235</v>
      </c>
      <c r="M183" s="277">
        <v>235</v>
      </c>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54"/>
    </row>
    <row r="184" spans="1:61" s="24" customFormat="1" ht="27.75" customHeight="1">
      <c r="A184" s="2"/>
      <c r="B184" s="7" t="s">
        <v>288</v>
      </c>
      <c r="C184" s="2" t="s">
        <v>427</v>
      </c>
      <c r="D184" s="2" t="s">
        <v>98</v>
      </c>
      <c r="E184" s="10" t="s">
        <v>285</v>
      </c>
      <c r="F184" s="2" t="s">
        <v>42</v>
      </c>
      <c r="G184" s="315"/>
      <c r="H184" s="291"/>
      <c r="I184" s="291"/>
      <c r="J184" s="277">
        <f>60+16</f>
        <v>76</v>
      </c>
      <c r="K184" s="277">
        <f>60+16</f>
        <v>76</v>
      </c>
      <c r="L184" s="277">
        <v>60</v>
      </c>
      <c r="M184" s="277">
        <v>60</v>
      </c>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54"/>
    </row>
    <row r="185" spans="1:61" s="24" customFormat="1" ht="48" customHeight="1">
      <c r="A185" s="2"/>
      <c r="B185" s="7" t="s">
        <v>289</v>
      </c>
      <c r="C185" s="2" t="s">
        <v>427</v>
      </c>
      <c r="D185" s="2" t="s">
        <v>98</v>
      </c>
      <c r="E185" s="10" t="s">
        <v>286</v>
      </c>
      <c r="F185" s="2" t="s">
        <v>42</v>
      </c>
      <c r="G185" s="315"/>
      <c r="H185" s="291"/>
      <c r="I185" s="291"/>
      <c r="J185" s="277">
        <f>350-15-20-0.5-11.7-50</f>
        <v>252.8</v>
      </c>
      <c r="K185" s="277">
        <f>350-15-20-0.5-11.7-50</f>
        <v>252.8</v>
      </c>
      <c r="L185" s="277">
        <v>350</v>
      </c>
      <c r="M185" s="277">
        <v>350</v>
      </c>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54"/>
    </row>
    <row r="186" spans="1:61" s="24" customFormat="1" ht="39.75" customHeight="1">
      <c r="A186" s="2"/>
      <c r="B186" s="95" t="s">
        <v>290</v>
      </c>
      <c r="C186" s="2" t="s">
        <v>427</v>
      </c>
      <c r="D186" s="2" t="s">
        <v>98</v>
      </c>
      <c r="E186" s="10" t="s">
        <v>287</v>
      </c>
      <c r="F186" s="2" t="s">
        <v>42</v>
      </c>
      <c r="G186" s="316"/>
      <c r="H186" s="292"/>
      <c r="I186" s="292"/>
      <c r="J186" s="277">
        <f>20-20</f>
        <v>0</v>
      </c>
      <c r="K186" s="277">
        <f>20-20</f>
        <v>0</v>
      </c>
      <c r="L186" s="277">
        <v>20</v>
      </c>
      <c r="M186" s="277">
        <v>20</v>
      </c>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54"/>
    </row>
    <row r="187" spans="1:61" s="24" customFormat="1" ht="45" customHeight="1">
      <c r="A187" s="2"/>
      <c r="B187" s="95" t="s">
        <v>277</v>
      </c>
      <c r="C187" s="2"/>
      <c r="D187" s="2"/>
      <c r="E187" s="10" t="s">
        <v>89</v>
      </c>
      <c r="F187" s="2"/>
      <c r="G187" s="27"/>
      <c r="H187" s="2"/>
      <c r="I187" s="2"/>
      <c r="J187" s="277">
        <f>J188+J189</f>
        <v>110.278</v>
      </c>
      <c r="K187" s="277">
        <f>K188+K189</f>
        <v>110.278</v>
      </c>
      <c r="L187" s="277">
        <f>L188+L189</f>
        <v>0</v>
      </c>
      <c r="M187" s="277">
        <f>M188+M189</f>
        <v>0</v>
      </c>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54"/>
    </row>
    <row r="188" spans="1:61" s="24" customFormat="1" ht="63.75" customHeight="1">
      <c r="A188" s="2"/>
      <c r="B188" s="95" t="s">
        <v>81</v>
      </c>
      <c r="C188" s="2" t="s">
        <v>427</v>
      </c>
      <c r="D188" s="2" t="s">
        <v>98</v>
      </c>
      <c r="E188" s="10" t="s">
        <v>278</v>
      </c>
      <c r="F188" s="2" t="s">
        <v>42</v>
      </c>
      <c r="G188" s="283" t="s">
        <v>552</v>
      </c>
      <c r="H188" s="293" t="s">
        <v>367</v>
      </c>
      <c r="I188" s="293" t="s">
        <v>557</v>
      </c>
      <c r="J188" s="277">
        <v>45</v>
      </c>
      <c r="K188" s="277">
        <v>45</v>
      </c>
      <c r="L188" s="277">
        <v>0</v>
      </c>
      <c r="M188" s="277">
        <v>0</v>
      </c>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54"/>
    </row>
    <row r="189" spans="1:61" s="24" customFormat="1" ht="68.25" customHeight="1">
      <c r="A189" s="2"/>
      <c r="B189" s="95" t="s">
        <v>82</v>
      </c>
      <c r="C189" s="2" t="s">
        <v>427</v>
      </c>
      <c r="D189" s="2" t="s">
        <v>98</v>
      </c>
      <c r="E189" s="10" t="s">
        <v>279</v>
      </c>
      <c r="F189" s="2" t="s">
        <v>42</v>
      </c>
      <c r="G189" s="300"/>
      <c r="H189" s="294"/>
      <c r="I189" s="294"/>
      <c r="J189" s="219">
        <v>65.278</v>
      </c>
      <c r="K189" s="277">
        <v>65.278</v>
      </c>
      <c r="L189" s="277">
        <v>0</v>
      </c>
      <c r="M189" s="277">
        <v>0</v>
      </c>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54"/>
    </row>
    <row r="190" spans="1:61" s="24" customFormat="1" ht="43.5" customHeight="1">
      <c r="A190" s="2"/>
      <c r="B190" s="7" t="s">
        <v>241</v>
      </c>
      <c r="C190" s="2"/>
      <c r="D190" s="2"/>
      <c r="E190" s="142" t="s">
        <v>56</v>
      </c>
      <c r="F190" s="2"/>
      <c r="G190" s="3"/>
      <c r="H190" s="4"/>
      <c r="I190" s="4"/>
      <c r="J190" s="218">
        <f aca="true" t="shared" si="9" ref="J190:M191">J191</f>
        <v>626.1</v>
      </c>
      <c r="K190" s="213">
        <f t="shared" si="9"/>
        <v>626.1</v>
      </c>
      <c r="L190" s="218">
        <f t="shared" si="9"/>
        <v>626.1</v>
      </c>
      <c r="M190" s="218">
        <f t="shared" si="9"/>
        <v>626.1</v>
      </c>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54"/>
    </row>
    <row r="191" spans="1:61" s="24" customFormat="1" ht="36" customHeight="1">
      <c r="A191" s="2"/>
      <c r="B191" s="12" t="s">
        <v>414</v>
      </c>
      <c r="C191" s="2"/>
      <c r="D191" s="2"/>
      <c r="E191" s="142" t="s">
        <v>57</v>
      </c>
      <c r="F191" s="2"/>
      <c r="G191" s="3"/>
      <c r="H191" s="4"/>
      <c r="I191" s="4"/>
      <c r="J191" s="218">
        <f t="shared" si="9"/>
        <v>626.1</v>
      </c>
      <c r="K191" s="213">
        <f t="shared" si="9"/>
        <v>626.1</v>
      </c>
      <c r="L191" s="218">
        <f t="shared" si="9"/>
        <v>626.1</v>
      </c>
      <c r="M191" s="218">
        <f t="shared" si="9"/>
        <v>626.1</v>
      </c>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54"/>
    </row>
    <row r="192" spans="1:61" s="24" customFormat="1" ht="114" customHeight="1">
      <c r="A192" s="2"/>
      <c r="B192" s="12" t="s">
        <v>543</v>
      </c>
      <c r="C192" s="2" t="s">
        <v>427</v>
      </c>
      <c r="D192" s="2" t="s">
        <v>98</v>
      </c>
      <c r="E192" s="142" t="s">
        <v>439</v>
      </c>
      <c r="F192" s="2" t="s">
        <v>276</v>
      </c>
      <c r="G192" s="3" t="s">
        <v>896</v>
      </c>
      <c r="H192" s="4" t="s">
        <v>639</v>
      </c>
      <c r="I192" s="4" t="s">
        <v>640</v>
      </c>
      <c r="J192" s="219">
        <v>626.1</v>
      </c>
      <c r="K192" s="219">
        <v>626.1</v>
      </c>
      <c r="L192" s="219">
        <v>626.1</v>
      </c>
      <c r="M192" s="219">
        <v>626.1</v>
      </c>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54"/>
    </row>
    <row r="193" spans="1:62" s="58" customFormat="1" ht="63.75" customHeight="1">
      <c r="A193" s="78" t="s">
        <v>164</v>
      </c>
      <c r="B193" s="79" t="s">
        <v>165</v>
      </c>
      <c r="C193" s="78"/>
      <c r="D193" s="78"/>
      <c r="E193" s="86"/>
      <c r="F193" s="86"/>
      <c r="G193" s="81"/>
      <c r="H193" s="78"/>
      <c r="I193" s="78"/>
      <c r="J193" s="212">
        <f aca="true" t="shared" si="10" ref="J193:M194">J194</f>
        <v>1428.42753</v>
      </c>
      <c r="K193" s="212">
        <f t="shared" si="10"/>
        <v>1428.42753</v>
      </c>
      <c r="L193" s="212">
        <f t="shared" si="10"/>
        <v>0</v>
      </c>
      <c r="M193" s="212">
        <f t="shared" si="10"/>
        <v>0</v>
      </c>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54"/>
      <c r="BJ193" s="24"/>
    </row>
    <row r="194" spans="1:62" s="58" customFormat="1" ht="30" customHeight="1">
      <c r="A194" s="2"/>
      <c r="B194" s="11" t="s">
        <v>273</v>
      </c>
      <c r="C194" s="57"/>
      <c r="D194" s="2"/>
      <c r="E194" s="2" t="s">
        <v>74</v>
      </c>
      <c r="F194" s="57"/>
      <c r="G194" s="27"/>
      <c r="H194" s="2"/>
      <c r="I194" s="2"/>
      <c r="J194" s="213">
        <f t="shared" si="10"/>
        <v>1428.42753</v>
      </c>
      <c r="K194" s="213">
        <f t="shared" si="10"/>
        <v>1428.42753</v>
      </c>
      <c r="L194" s="213">
        <f t="shared" si="10"/>
        <v>0</v>
      </c>
      <c r="M194" s="213">
        <f t="shared" si="10"/>
        <v>0</v>
      </c>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54"/>
      <c r="BJ194" s="24"/>
    </row>
    <row r="195" spans="1:62" s="58" customFormat="1" ht="30" customHeight="1">
      <c r="A195" s="2"/>
      <c r="B195" s="6" t="s">
        <v>274</v>
      </c>
      <c r="C195" s="57"/>
      <c r="D195" s="2"/>
      <c r="E195" s="2" t="s">
        <v>91</v>
      </c>
      <c r="F195" s="57"/>
      <c r="G195" s="27"/>
      <c r="H195" s="2"/>
      <c r="I195" s="2"/>
      <c r="J195" s="213">
        <f>J196+J199</f>
        <v>1428.42753</v>
      </c>
      <c r="K195" s="213">
        <f>K196+K199</f>
        <v>1428.42753</v>
      </c>
      <c r="L195" s="213">
        <f>L196</f>
        <v>0</v>
      </c>
      <c r="M195" s="213">
        <f>M196</f>
        <v>0</v>
      </c>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54"/>
      <c r="BJ195" s="24"/>
    </row>
    <row r="196" spans="1:61" s="24" customFormat="1" ht="147" customHeight="1">
      <c r="A196" s="290"/>
      <c r="B196" s="280" t="s">
        <v>85</v>
      </c>
      <c r="C196" s="293" t="s">
        <v>427</v>
      </c>
      <c r="D196" s="290" t="s">
        <v>43</v>
      </c>
      <c r="E196" s="290" t="s">
        <v>291</v>
      </c>
      <c r="F196" s="290" t="s">
        <v>42</v>
      </c>
      <c r="G196" s="165" t="s">
        <v>1005</v>
      </c>
      <c r="H196" s="144" t="s">
        <v>579</v>
      </c>
      <c r="I196" s="106" t="s">
        <v>1006</v>
      </c>
      <c r="J196" s="342">
        <v>1355.18553</v>
      </c>
      <c r="K196" s="342">
        <v>1355.18553</v>
      </c>
      <c r="L196" s="342">
        <v>0</v>
      </c>
      <c r="M196" s="342">
        <v>0</v>
      </c>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54"/>
    </row>
    <row r="197" spans="1:13" s="26" customFormat="1" ht="60" customHeight="1">
      <c r="A197" s="291"/>
      <c r="B197" s="281"/>
      <c r="C197" s="295"/>
      <c r="D197" s="291"/>
      <c r="E197" s="291"/>
      <c r="F197" s="291"/>
      <c r="G197" s="138" t="s">
        <v>95</v>
      </c>
      <c r="H197" s="4" t="s">
        <v>96</v>
      </c>
      <c r="I197" s="106" t="s">
        <v>94</v>
      </c>
      <c r="J197" s="348"/>
      <c r="K197" s="348"/>
      <c r="L197" s="348"/>
      <c r="M197" s="348"/>
    </row>
    <row r="198" spans="1:13" s="26" customFormat="1" ht="64.5" customHeight="1">
      <c r="A198" s="292"/>
      <c r="B198" s="281"/>
      <c r="C198" s="294"/>
      <c r="D198" s="292"/>
      <c r="E198" s="292"/>
      <c r="F198" s="292"/>
      <c r="G198" s="318" t="s">
        <v>87</v>
      </c>
      <c r="H198" s="293" t="s">
        <v>97</v>
      </c>
      <c r="I198" s="301" t="s">
        <v>897</v>
      </c>
      <c r="J198" s="343"/>
      <c r="K198" s="343"/>
      <c r="L198" s="343"/>
      <c r="M198" s="343"/>
    </row>
    <row r="199" spans="1:13" s="26" customFormat="1" ht="28.5" customHeight="1">
      <c r="A199" s="105"/>
      <c r="B199" s="312"/>
      <c r="C199" s="100" t="s">
        <v>427</v>
      </c>
      <c r="D199" s="105" t="s">
        <v>43</v>
      </c>
      <c r="E199" s="105" t="s">
        <v>291</v>
      </c>
      <c r="F199" s="105" t="s">
        <v>276</v>
      </c>
      <c r="G199" s="319"/>
      <c r="H199" s="294"/>
      <c r="I199" s="302"/>
      <c r="J199" s="214">
        <f>86.13+10.485-23.373</f>
        <v>73.24199999999999</v>
      </c>
      <c r="K199" s="214">
        <f>86.13+10.485-23.373</f>
        <v>73.24199999999999</v>
      </c>
      <c r="L199" s="214">
        <v>0</v>
      </c>
      <c r="M199" s="214">
        <v>0</v>
      </c>
    </row>
    <row r="200" spans="1:62" s="58" customFormat="1" ht="105" customHeight="1">
      <c r="A200" s="78" t="s">
        <v>166</v>
      </c>
      <c r="B200" s="79" t="s">
        <v>167</v>
      </c>
      <c r="C200" s="78"/>
      <c r="D200" s="78"/>
      <c r="E200" s="86"/>
      <c r="F200" s="86"/>
      <c r="G200" s="81"/>
      <c r="H200" s="78"/>
      <c r="I200" s="78"/>
      <c r="J200" s="212">
        <f>J201</f>
        <v>5747.843000000001</v>
      </c>
      <c r="K200" s="212">
        <f>K201</f>
        <v>5747.843000000001</v>
      </c>
      <c r="L200" s="212">
        <f>L201</f>
        <v>5863.92</v>
      </c>
      <c r="M200" s="212">
        <f>M201</f>
        <v>5863.92</v>
      </c>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54"/>
      <c r="BJ200" s="24"/>
    </row>
    <row r="201" spans="2:65" s="21" customFormat="1" ht="30" customHeight="1">
      <c r="B201" s="12" t="s">
        <v>307</v>
      </c>
      <c r="C201" s="2"/>
      <c r="D201" s="2"/>
      <c r="E201" s="2" t="s">
        <v>74</v>
      </c>
      <c r="J201" s="213">
        <f>J202+J207</f>
        <v>5747.843000000001</v>
      </c>
      <c r="K201" s="213">
        <f>K202+K207</f>
        <v>5747.843000000001</v>
      </c>
      <c r="L201" s="213">
        <f>L202+L207</f>
        <v>5863.92</v>
      </c>
      <c r="M201" s="213">
        <f>M202+M207</f>
        <v>5863.92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c r="BB201" s="118"/>
      <c r="BC201" s="118"/>
      <c r="BD201" s="118"/>
      <c r="BE201" s="118"/>
      <c r="BF201" s="118"/>
      <c r="BG201" s="118"/>
      <c r="BH201" s="118"/>
      <c r="BI201" s="118"/>
      <c r="BJ201" s="118"/>
      <c r="BK201" s="118"/>
      <c r="BL201" s="118"/>
      <c r="BM201" s="119"/>
    </row>
    <row r="202" spans="2:65" s="21" customFormat="1" ht="30" customHeight="1">
      <c r="B202" s="12" t="s">
        <v>308</v>
      </c>
      <c r="C202" s="2"/>
      <c r="D202" s="2"/>
      <c r="E202" s="2" t="s">
        <v>91</v>
      </c>
      <c r="J202" s="213">
        <f>J205+J203+J204+J206</f>
        <v>5743.4800000000005</v>
      </c>
      <c r="K202" s="213">
        <f>K205+K203+K204+K206</f>
        <v>5743.4800000000005</v>
      </c>
      <c r="L202" s="213">
        <f>L205+L203+L204+L206</f>
        <v>5863.92</v>
      </c>
      <c r="M202" s="213">
        <f>M205+M203+M204+M206</f>
        <v>5863.92</v>
      </c>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9"/>
    </row>
    <row r="203" spans="1:64" ht="24.75" customHeight="1">
      <c r="A203" s="293"/>
      <c r="B203" s="280" t="s">
        <v>51</v>
      </c>
      <c r="C203" s="2" t="s">
        <v>427</v>
      </c>
      <c r="D203" s="2" t="s">
        <v>12</v>
      </c>
      <c r="E203" s="1" t="s">
        <v>316</v>
      </c>
      <c r="F203" s="2" t="s">
        <v>38</v>
      </c>
      <c r="G203" s="283" t="s">
        <v>542</v>
      </c>
      <c r="H203" s="290" t="s">
        <v>310</v>
      </c>
      <c r="I203" s="290" t="s">
        <v>445</v>
      </c>
      <c r="J203" s="277">
        <f>200-50-20-80-41.2</f>
        <v>8.799999999999997</v>
      </c>
      <c r="K203" s="277">
        <f>200-50-20-80-41.2</f>
        <v>8.799999999999997</v>
      </c>
      <c r="L203" s="277">
        <f>200</f>
        <v>200</v>
      </c>
      <c r="M203" s="277">
        <f>200</f>
        <v>200</v>
      </c>
      <c r="BI203" s="26"/>
      <c r="BJ203" s="26"/>
      <c r="BK203" s="26"/>
      <c r="BL203" s="26"/>
    </row>
    <row r="204" spans="1:64" ht="24.75" customHeight="1">
      <c r="A204" s="294"/>
      <c r="B204" s="312"/>
      <c r="C204" s="2" t="s">
        <v>427</v>
      </c>
      <c r="D204" s="2" t="s">
        <v>12</v>
      </c>
      <c r="E204" s="1" t="s">
        <v>316</v>
      </c>
      <c r="F204" s="2" t="s">
        <v>42</v>
      </c>
      <c r="G204" s="300"/>
      <c r="H204" s="292"/>
      <c r="I204" s="292"/>
      <c r="J204" s="277">
        <f>590+50-40+80-80+30</f>
        <v>630</v>
      </c>
      <c r="K204" s="277">
        <f>590+50-40+80-80+30</f>
        <v>630</v>
      </c>
      <c r="L204" s="277">
        <f>590</f>
        <v>590</v>
      </c>
      <c r="M204" s="277">
        <f>590</f>
        <v>590</v>
      </c>
      <c r="BI204" s="26"/>
      <c r="BJ204" s="26"/>
      <c r="BK204" s="26"/>
      <c r="BL204" s="26"/>
    </row>
    <row r="205" spans="1:13" s="28" customFormat="1" ht="181.5" customHeight="1">
      <c r="A205" s="2"/>
      <c r="B205" s="11" t="s">
        <v>397</v>
      </c>
      <c r="C205" s="2" t="s">
        <v>427</v>
      </c>
      <c r="D205" s="2" t="s">
        <v>12</v>
      </c>
      <c r="E205" s="2" t="s">
        <v>351</v>
      </c>
      <c r="F205" s="2" t="s">
        <v>42</v>
      </c>
      <c r="G205" s="27" t="s">
        <v>561</v>
      </c>
      <c r="H205" s="106" t="s">
        <v>898</v>
      </c>
      <c r="I205" s="5" t="s">
        <v>899</v>
      </c>
      <c r="J205" s="277">
        <v>5073.92</v>
      </c>
      <c r="K205" s="277">
        <v>5073.92</v>
      </c>
      <c r="L205" s="277">
        <v>5073.92</v>
      </c>
      <c r="M205" s="277">
        <v>5073.92</v>
      </c>
    </row>
    <row r="206" spans="1:65" s="24" customFormat="1" ht="131.25" customHeight="1">
      <c r="A206" s="4"/>
      <c r="B206" s="11" t="s">
        <v>108</v>
      </c>
      <c r="C206" s="2" t="s">
        <v>427</v>
      </c>
      <c r="D206" s="2" t="s">
        <v>12</v>
      </c>
      <c r="E206" s="2" t="s">
        <v>349</v>
      </c>
      <c r="F206" s="2" t="s">
        <v>42</v>
      </c>
      <c r="G206" s="3" t="s">
        <v>551</v>
      </c>
      <c r="H206" s="1" t="s">
        <v>310</v>
      </c>
      <c r="I206" s="105" t="s">
        <v>900</v>
      </c>
      <c r="J206" s="277">
        <v>30.76</v>
      </c>
      <c r="K206" s="277">
        <v>30.76</v>
      </c>
      <c r="L206" s="277">
        <v>0</v>
      </c>
      <c r="M206" s="277">
        <v>0</v>
      </c>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54"/>
    </row>
    <row r="207" spans="1:65" s="122" customFormat="1" ht="30" customHeight="1">
      <c r="A207" s="76"/>
      <c r="B207" s="11" t="s">
        <v>318</v>
      </c>
      <c r="C207" s="57"/>
      <c r="D207" s="2"/>
      <c r="E207" s="2" t="s">
        <v>89</v>
      </c>
      <c r="F207" s="57"/>
      <c r="G207" s="29"/>
      <c r="H207" s="29"/>
      <c r="I207" s="29"/>
      <c r="J207" s="213">
        <f>J208</f>
        <v>4.363</v>
      </c>
      <c r="K207" s="213">
        <f>K208</f>
        <v>4.363</v>
      </c>
      <c r="L207" s="213">
        <f>L208</f>
        <v>0</v>
      </c>
      <c r="M207" s="213">
        <f>M208</f>
        <v>0</v>
      </c>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121"/>
    </row>
    <row r="208" spans="1:65" s="24" customFormat="1" ht="145.5" customHeight="1">
      <c r="A208" s="4"/>
      <c r="B208" s="11" t="s">
        <v>82</v>
      </c>
      <c r="C208" s="2" t="s">
        <v>427</v>
      </c>
      <c r="D208" s="106" t="s">
        <v>12</v>
      </c>
      <c r="E208" s="106" t="s">
        <v>279</v>
      </c>
      <c r="F208" s="2" t="s">
        <v>42</v>
      </c>
      <c r="G208" s="3" t="s">
        <v>552</v>
      </c>
      <c r="H208" s="1" t="s">
        <v>310</v>
      </c>
      <c r="I208" s="105" t="s">
        <v>562</v>
      </c>
      <c r="J208" s="277">
        <v>4.363</v>
      </c>
      <c r="K208" s="277">
        <f>4.363</f>
        <v>4.363</v>
      </c>
      <c r="L208" s="277">
        <v>0</v>
      </c>
      <c r="M208" s="277">
        <v>0</v>
      </c>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54"/>
    </row>
    <row r="209" spans="1:60" s="59" customFormat="1" ht="45" customHeight="1">
      <c r="A209" s="78" t="s">
        <v>169</v>
      </c>
      <c r="B209" s="79" t="s">
        <v>168</v>
      </c>
      <c r="C209" s="86"/>
      <c r="D209" s="78"/>
      <c r="E209" s="86"/>
      <c r="F209" s="86"/>
      <c r="G209" s="81"/>
      <c r="H209" s="78"/>
      <c r="I209" s="78"/>
      <c r="J209" s="212">
        <f>J210</f>
        <v>12876.630000000001</v>
      </c>
      <c r="K209" s="212">
        <f>K210</f>
        <v>12876.630000000001</v>
      </c>
      <c r="L209" s="212">
        <f>L210</f>
        <v>12876.630000000001</v>
      </c>
      <c r="M209" s="212">
        <f>M210</f>
        <v>12876.630000000001</v>
      </c>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69"/>
      <c r="AX209" s="69"/>
      <c r="AY209" s="69"/>
      <c r="AZ209" s="69"/>
      <c r="BA209" s="69"/>
      <c r="BB209" s="69"/>
      <c r="BC209" s="69"/>
      <c r="BD209" s="69"/>
      <c r="BE209" s="69"/>
      <c r="BF209" s="69"/>
      <c r="BG209" s="69"/>
      <c r="BH209" s="69"/>
    </row>
    <row r="210" spans="2:61" s="61" customFormat="1" ht="30" customHeight="1">
      <c r="B210" s="62" t="s">
        <v>265</v>
      </c>
      <c r="C210" s="12"/>
      <c r="D210" s="2"/>
      <c r="E210" s="106" t="s">
        <v>55</v>
      </c>
      <c r="F210" s="12"/>
      <c r="J210" s="213">
        <f>J212+J211+J213</f>
        <v>12876.630000000001</v>
      </c>
      <c r="K210" s="213">
        <f>K212+K211+K213</f>
        <v>12876.630000000001</v>
      </c>
      <c r="L210" s="213">
        <f>L212+L211+L213</f>
        <v>12876.630000000001</v>
      </c>
      <c r="M210" s="213">
        <f>M212+M211+M213</f>
        <v>12876.630000000001</v>
      </c>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64"/>
    </row>
    <row r="211" spans="1:61" s="61" customFormat="1" ht="207" customHeight="1">
      <c r="A211" s="112"/>
      <c r="B211" s="57" t="s">
        <v>266</v>
      </c>
      <c r="C211" s="2" t="s">
        <v>427</v>
      </c>
      <c r="D211" s="2" t="s">
        <v>84</v>
      </c>
      <c r="E211" s="75" t="s">
        <v>753</v>
      </c>
      <c r="F211" s="2" t="s">
        <v>42</v>
      </c>
      <c r="G211" s="152" t="s">
        <v>676</v>
      </c>
      <c r="H211" s="159" t="s">
        <v>901</v>
      </c>
      <c r="I211" s="106" t="s">
        <v>564</v>
      </c>
      <c r="J211" s="277">
        <v>12416.53</v>
      </c>
      <c r="K211" s="277">
        <v>12416.53</v>
      </c>
      <c r="L211" s="277">
        <v>12416.53</v>
      </c>
      <c r="M211" s="277">
        <v>12416.53</v>
      </c>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64"/>
    </row>
    <row r="212" spans="2:61" s="61" customFormat="1" ht="36.75" customHeight="1">
      <c r="B212" s="12" t="s">
        <v>83</v>
      </c>
      <c r="C212" s="2" t="s">
        <v>427</v>
      </c>
      <c r="D212" s="75" t="s">
        <v>84</v>
      </c>
      <c r="E212" s="75" t="s">
        <v>403</v>
      </c>
      <c r="F212" s="77">
        <v>610</v>
      </c>
      <c r="G212" s="324" t="s">
        <v>532</v>
      </c>
      <c r="H212" s="356" t="s">
        <v>320</v>
      </c>
      <c r="I212" s="286" t="s">
        <v>445</v>
      </c>
      <c r="J212" s="221">
        <v>300</v>
      </c>
      <c r="K212" s="398">
        <v>300</v>
      </c>
      <c r="L212" s="221">
        <v>300</v>
      </c>
      <c r="M212" s="221">
        <v>300</v>
      </c>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64"/>
    </row>
    <row r="213" spans="1:61" s="61" customFormat="1" ht="33.75" customHeight="1">
      <c r="A213" s="111"/>
      <c r="B213" s="109" t="s">
        <v>267</v>
      </c>
      <c r="C213" s="2" t="s">
        <v>427</v>
      </c>
      <c r="D213" s="2" t="s">
        <v>84</v>
      </c>
      <c r="E213" s="75" t="s">
        <v>754</v>
      </c>
      <c r="F213" s="2" t="s">
        <v>42</v>
      </c>
      <c r="G213" s="325"/>
      <c r="H213" s="357"/>
      <c r="I213" s="287"/>
      <c r="J213" s="278">
        <v>160.1</v>
      </c>
      <c r="K213" s="278">
        <v>160.1</v>
      </c>
      <c r="L213" s="278">
        <v>160.1</v>
      </c>
      <c r="M213" s="278">
        <v>160.1</v>
      </c>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64"/>
    </row>
    <row r="214" spans="1:60" s="59" customFormat="1" ht="45" customHeight="1">
      <c r="A214" s="78" t="s">
        <v>171</v>
      </c>
      <c r="B214" s="79" t="s">
        <v>170</v>
      </c>
      <c r="C214" s="86"/>
      <c r="D214" s="78"/>
      <c r="E214" s="86"/>
      <c r="F214" s="86"/>
      <c r="G214" s="81"/>
      <c r="H214" s="78"/>
      <c r="I214" s="78"/>
      <c r="J214" s="212">
        <f>J215</f>
        <v>68208.23687000001</v>
      </c>
      <c r="K214" s="212">
        <f>K215</f>
        <v>68208.23687000001</v>
      </c>
      <c r="L214" s="212">
        <f>L215</f>
        <v>55798.9488</v>
      </c>
      <c r="M214" s="212">
        <f>M215</f>
        <v>51573.630000000005</v>
      </c>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row>
    <row r="215" spans="1:61" s="60" customFormat="1" ht="30" customHeight="1">
      <c r="A215" s="106"/>
      <c r="B215" s="46" t="s">
        <v>265</v>
      </c>
      <c r="C215" s="57"/>
      <c r="D215" s="2"/>
      <c r="E215" s="2" t="s">
        <v>55</v>
      </c>
      <c r="F215" s="57"/>
      <c r="G215" s="45"/>
      <c r="H215" s="106"/>
      <c r="I215" s="106"/>
      <c r="J215" s="213">
        <f>J223+J216+J228</f>
        <v>68208.23687000001</v>
      </c>
      <c r="K215" s="213">
        <f>K223+K216+K228</f>
        <v>68208.23687000001</v>
      </c>
      <c r="L215" s="213">
        <f>L223+L216+L228</f>
        <v>55798.9488</v>
      </c>
      <c r="M215" s="213">
        <f>M223+M216+M228</f>
        <v>51573.630000000005</v>
      </c>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5"/>
    </row>
    <row r="216" spans="1:61" s="24" customFormat="1" ht="30" customHeight="1">
      <c r="A216" s="2"/>
      <c r="B216" s="113" t="s">
        <v>268</v>
      </c>
      <c r="C216" s="90"/>
      <c r="D216" s="1"/>
      <c r="E216" s="2" t="s">
        <v>398</v>
      </c>
      <c r="F216" s="90"/>
      <c r="G216" s="47"/>
      <c r="H216" s="2"/>
      <c r="I216" s="2"/>
      <c r="J216" s="220">
        <f>J217+J219+J221+J222</f>
        <v>15958.400000000001</v>
      </c>
      <c r="K216" s="220">
        <f>K217+K219+K221+K222</f>
        <v>15958.400000000001</v>
      </c>
      <c r="L216" s="220">
        <f>L217+L219+L221+L222</f>
        <v>16108.400000000001</v>
      </c>
      <c r="M216" s="220">
        <f>M217+M219+M221+M222</f>
        <v>16108.400000000001</v>
      </c>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54"/>
    </row>
    <row r="217" spans="1:61" s="24" customFormat="1" ht="197.25" customHeight="1">
      <c r="A217" s="290"/>
      <c r="B217" s="298" t="s">
        <v>356</v>
      </c>
      <c r="C217" s="290" t="s">
        <v>427</v>
      </c>
      <c r="D217" s="290" t="s">
        <v>84</v>
      </c>
      <c r="E217" s="290" t="s">
        <v>399</v>
      </c>
      <c r="F217" s="290" t="s">
        <v>42</v>
      </c>
      <c r="G217" s="3" t="s">
        <v>676</v>
      </c>
      <c r="H217" s="4" t="s">
        <v>565</v>
      </c>
      <c r="I217" s="106" t="s">
        <v>903</v>
      </c>
      <c r="J217" s="342">
        <f>14442.7+1+0.04</f>
        <v>14443.740000000002</v>
      </c>
      <c r="K217" s="342">
        <f>14442.7+1+0.04</f>
        <v>14443.740000000002</v>
      </c>
      <c r="L217" s="342">
        <f>14442.7+1.04</f>
        <v>14443.740000000002</v>
      </c>
      <c r="M217" s="342">
        <f>14442.7+1.04</f>
        <v>14443.740000000002</v>
      </c>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54"/>
    </row>
    <row r="218" spans="1:61" s="24" customFormat="1" ht="72.75" customHeight="1">
      <c r="A218" s="292"/>
      <c r="B218" s="299"/>
      <c r="C218" s="292"/>
      <c r="D218" s="292"/>
      <c r="E218" s="292"/>
      <c r="F218" s="292"/>
      <c r="G218" s="3" t="s">
        <v>902</v>
      </c>
      <c r="H218" s="4" t="s">
        <v>548</v>
      </c>
      <c r="I218" s="106" t="s">
        <v>904</v>
      </c>
      <c r="J218" s="347"/>
      <c r="K218" s="347"/>
      <c r="L218" s="347"/>
      <c r="M218" s="347"/>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54"/>
    </row>
    <row r="219" spans="1:61" s="24" customFormat="1" ht="192.75" customHeight="1">
      <c r="A219" s="290"/>
      <c r="B219" s="298" t="s">
        <v>357</v>
      </c>
      <c r="C219" s="290" t="s">
        <v>427</v>
      </c>
      <c r="D219" s="290" t="s">
        <v>84</v>
      </c>
      <c r="E219" s="290" t="s">
        <v>400</v>
      </c>
      <c r="F219" s="290" t="s">
        <v>42</v>
      </c>
      <c r="G219" s="3" t="s">
        <v>563</v>
      </c>
      <c r="H219" s="4" t="s">
        <v>566</v>
      </c>
      <c r="I219" s="106" t="s">
        <v>567</v>
      </c>
      <c r="J219" s="344">
        <f>1075.8-1.04</f>
        <v>1074.76</v>
      </c>
      <c r="K219" s="342">
        <f>1075.8-1.04</f>
        <v>1074.76</v>
      </c>
      <c r="L219" s="344">
        <v>1074.76</v>
      </c>
      <c r="M219" s="344">
        <v>1074.76</v>
      </c>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54"/>
    </row>
    <row r="220" spans="1:61" s="24" customFormat="1" ht="75" customHeight="1">
      <c r="A220" s="292"/>
      <c r="B220" s="299"/>
      <c r="C220" s="292"/>
      <c r="D220" s="292"/>
      <c r="E220" s="292"/>
      <c r="F220" s="292"/>
      <c r="G220" s="138" t="s">
        <v>547</v>
      </c>
      <c r="H220" s="4" t="s">
        <v>311</v>
      </c>
      <c r="I220" s="2" t="s">
        <v>544</v>
      </c>
      <c r="J220" s="347"/>
      <c r="K220" s="347"/>
      <c r="L220" s="343"/>
      <c r="M220" s="343"/>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54"/>
    </row>
    <row r="221" spans="1:61" s="24" customFormat="1" ht="21.75" customHeight="1">
      <c r="A221" s="2"/>
      <c r="B221" s="12" t="s">
        <v>110</v>
      </c>
      <c r="C221" s="2" t="s">
        <v>427</v>
      </c>
      <c r="D221" s="2" t="s">
        <v>84</v>
      </c>
      <c r="E221" s="2" t="s">
        <v>401</v>
      </c>
      <c r="F221" s="2" t="s">
        <v>42</v>
      </c>
      <c r="G221" s="318" t="s">
        <v>541</v>
      </c>
      <c r="H221" s="293" t="s">
        <v>533</v>
      </c>
      <c r="I221" s="301" t="s">
        <v>445</v>
      </c>
      <c r="J221" s="277">
        <v>39.9</v>
      </c>
      <c r="K221" s="277">
        <v>39.9</v>
      </c>
      <c r="L221" s="277">
        <v>39.9</v>
      </c>
      <c r="M221" s="277">
        <v>39.9</v>
      </c>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54"/>
    </row>
    <row r="222" spans="1:61" s="24" customFormat="1" ht="30">
      <c r="A222" s="2"/>
      <c r="B222" s="12" t="s">
        <v>269</v>
      </c>
      <c r="C222" s="2" t="s">
        <v>427</v>
      </c>
      <c r="D222" s="2" t="s">
        <v>84</v>
      </c>
      <c r="E222" s="2" t="s">
        <v>402</v>
      </c>
      <c r="F222" s="2" t="s">
        <v>42</v>
      </c>
      <c r="G222" s="319"/>
      <c r="H222" s="294"/>
      <c r="I222" s="302"/>
      <c r="J222" s="278">
        <f>550-150</f>
        <v>400</v>
      </c>
      <c r="K222" s="278">
        <f>550-150</f>
        <v>400</v>
      </c>
      <c r="L222" s="278">
        <v>550</v>
      </c>
      <c r="M222" s="278">
        <v>550</v>
      </c>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54"/>
    </row>
    <row r="223" spans="1:61" s="60" customFormat="1" ht="30" customHeight="1">
      <c r="A223" s="106"/>
      <c r="B223" s="108" t="s">
        <v>270</v>
      </c>
      <c r="C223" s="2"/>
      <c r="D223" s="2"/>
      <c r="E223" s="2" t="s">
        <v>404</v>
      </c>
      <c r="F223" s="90"/>
      <c r="G223" s="158"/>
      <c r="H223" s="159"/>
      <c r="I223" s="159"/>
      <c r="J223" s="220">
        <f>J224+J226+J227+J225+J229+J230</f>
        <v>52249.83687000001</v>
      </c>
      <c r="K223" s="220">
        <f>K224+K226+K227+K225+K229+K230</f>
        <v>52249.83687000001</v>
      </c>
      <c r="L223" s="220">
        <f>L224+L226+L227+L225</f>
        <v>39690.5488</v>
      </c>
      <c r="M223" s="220">
        <f>M224+M226+M227+M225</f>
        <v>35465.23</v>
      </c>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5"/>
    </row>
    <row r="224" spans="1:61" s="60" customFormat="1" ht="75.75" customHeight="1">
      <c r="A224" s="106"/>
      <c r="B224" s="90" t="s">
        <v>271</v>
      </c>
      <c r="C224" s="2" t="s">
        <v>427</v>
      </c>
      <c r="D224" s="1" t="s">
        <v>84</v>
      </c>
      <c r="E224" s="2" t="s">
        <v>405</v>
      </c>
      <c r="F224" s="1" t="s">
        <v>42</v>
      </c>
      <c r="G224" s="318" t="s">
        <v>677</v>
      </c>
      <c r="H224" s="301" t="s">
        <v>568</v>
      </c>
      <c r="I224" s="290" t="s">
        <v>546</v>
      </c>
      <c r="J224" s="279">
        <f>35254.93+328.635+757+626.57155+575.5</f>
        <v>37542.63655</v>
      </c>
      <c r="K224" s="279">
        <f>35254.93+328.635+757+626.57155+575.5</f>
        <v>37542.63655</v>
      </c>
      <c r="L224" s="219">
        <v>31029.6112</v>
      </c>
      <c r="M224" s="219">
        <v>35254.93</v>
      </c>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5"/>
    </row>
    <row r="225" spans="1:61" s="60" customFormat="1" ht="75.75" customHeight="1">
      <c r="A225" s="194"/>
      <c r="B225" s="12" t="s">
        <v>272</v>
      </c>
      <c r="C225" s="2" t="s">
        <v>427</v>
      </c>
      <c r="D225" s="2" t="s">
        <v>84</v>
      </c>
      <c r="E225" s="1" t="s">
        <v>406</v>
      </c>
      <c r="F225" s="1" t="s">
        <v>38</v>
      </c>
      <c r="G225" s="355"/>
      <c r="H225" s="313"/>
      <c r="I225" s="291"/>
      <c r="J225" s="279">
        <v>62</v>
      </c>
      <c r="K225" s="279">
        <v>62</v>
      </c>
      <c r="L225" s="219">
        <v>0</v>
      </c>
      <c r="M225" s="219">
        <v>0</v>
      </c>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5"/>
    </row>
    <row r="226" spans="1:61" s="60" customFormat="1" ht="93" customHeight="1">
      <c r="A226" s="179"/>
      <c r="B226" s="12" t="s">
        <v>272</v>
      </c>
      <c r="C226" s="2" t="s">
        <v>427</v>
      </c>
      <c r="D226" s="2" t="s">
        <v>84</v>
      </c>
      <c r="E226" s="1" t="s">
        <v>406</v>
      </c>
      <c r="F226" s="2" t="s">
        <v>42</v>
      </c>
      <c r="G226" s="355"/>
      <c r="H226" s="313"/>
      <c r="I226" s="291"/>
      <c r="J226" s="277">
        <f>3210.3+2271.34-1866.96668-2037.348</f>
        <v>1577.3253200000004</v>
      </c>
      <c r="K226" s="277">
        <f>3210.3+2271.34-1866.96668-2037.348</f>
        <v>1577.3253200000004</v>
      </c>
      <c r="L226" s="277">
        <v>210.3</v>
      </c>
      <c r="M226" s="277">
        <v>210.3</v>
      </c>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5"/>
    </row>
    <row r="227" spans="1:61" s="60" customFormat="1" ht="178.5" customHeight="1">
      <c r="A227" s="106"/>
      <c r="B227" s="57" t="s">
        <v>415</v>
      </c>
      <c r="C227" s="2" t="s">
        <v>427</v>
      </c>
      <c r="D227" s="2" t="s">
        <v>84</v>
      </c>
      <c r="E227" s="106" t="s">
        <v>407</v>
      </c>
      <c r="F227" s="10" t="s">
        <v>42</v>
      </c>
      <c r="G227" s="45" t="s">
        <v>905</v>
      </c>
      <c r="H227" s="159" t="s">
        <v>907</v>
      </c>
      <c r="I227" s="159" t="s">
        <v>906</v>
      </c>
      <c r="J227" s="219">
        <f>1750+1750+8043.8-0.03+182.137</f>
        <v>11725.907</v>
      </c>
      <c r="K227" s="219">
        <f>1750+1750+8043.8-0.03+182.137</f>
        <v>11725.907</v>
      </c>
      <c r="L227" s="219">
        <v>8450.6376</v>
      </c>
      <c r="M227" s="219">
        <v>0</v>
      </c>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5"/>
    </row>
    <row r="228" spans="1:13" s="68" customFormat="1" ht="63.75" customHeight="1">
      <c r="A228" s="157"/>
      <c r="B228" s="99" t="s">
        <v>433</v>
      </c>
      <c r="C228" s="2" t="s">
        <v>427</v>
      </c>
      <c r="D228" s="106" t="s">
        <v>84</v>
      </c>
      <c r="E228" s="106" t="s">
        <v>434</v>
      </c>
      <c r="F228" s="106" t="s">
        <v>42</v>
      </c>
      <c r="G228" s="153" t="s">
        <v>541</v>
      </c>
      <c r="H228" s="4" t="s">
        <v>534</v>
      </c>
      <c r="I228" s="106" t="s">
        <v>445</v>
      </c>
      <c r="J228" s="277">
        <v>0</v>
      </c>
      <c r="K228" s="277">
        <v>0</v>
      </c>
      <c r="L228" s="277">
        <v>0</v>
      </c>
      <c r="M228" s="277">
        <v>0</v>
      </c>
    </row>
    <row r="229" spans="1:13" s="68" customFormat="1" ht="38.25" customHeight="1">
      <c r="A229" s="251"/>
      <c r="B229" s="99" t="s">
        <v>828</v>
      </c>
      <c r="C229" s="2" t="s">
        <v>427</v>
      </c>
      <c r="D229" s="106" t="s">
        <v>84</v>
      </c>
      <c r="E229" s="106" t="s">
        <v>827</v>
      </c>
      <c r="F229" s="106" t="s">
        <v>42</v>
      </c>
      <c r="G229" s="318" t="s">
        <v>541</v>
      </c>
      <c r="H229" s="301" t="s">
        <v>829</v>
      </c>
      <c r="I229" s="301" t="s">
        <v>445</v>
      </c>
      <c r="J229" s="277">
        <f>363.73+915.738</f>
        <v>1279.468</v>
      </c>
      <c r="K229" s="277">
        <f>363.73+915.738</f>
        <v>1279.468</v>
      </c>
      <c r="L229" s="277">
        <v>0</v>
      </c>
      <c r="M229" s="277">
        <v>0</v>
      </c>
    </row>
    <row r="230" spans="1:13" s="68" customFormat="1" ht="25.5" customHeight="1">
      <c r="A230" s="257"/>
      <c r="B230" s="99" t="s">
        <v>842</v>
      </c>
      <c r="C230" s="2" t="s">
        <v>427</v>
      </c>
      <c r="D230" s="106" t="s">
        <v>84</v>
      </c>
      <c r="E230" s="106" t="s">
        <v>841</v>
      </c>
      <c r="F230" s="106" t="s">
        <v>42</v>
      </c>
      <c r="G230" s="319"/>
      <c r="H230" s="302"/>
      <c r="I230" s="302"/>
      <c r="J230" s="277">
        <v>62.5</v>
      </c>
      <c r="K230" s="277">
        <v>62.5</v>
      </c>
      <c r="L230" s="277">
        <v>0</v>
      </c>
      <c r="M230" s="277">
        <v>0</v>
      </c>
    </row>
    <row r="231" spans="1:13" ht="45" customHeight="1">
      <c r="A231" s="78" t="s">
        <v>179</v>
      </c>
      <c r="B231" s="79" t="s">
        <v>178</v>
      </c>
      <c r="C231" s="78"/>
      <c r="D231" s="80"/>
      <c r="E231" s="78"/>
      <c r="F231" s="78"/>
      <c r="G231" s="81"/>
      <c r="H231" s="78"/>
      <c r="I231" s="78"/>
      <c r="J231" s="212">
        <f>J232</f>
        <v>41506.9972</v>
      </c>
      <c r="K231" s="212">
        <f>K232</f>
        <v>41506.9972</v>
      </c>
      <c r="L231" s="212">
        <f>L232</f>
        <v>36494.38099</v>
      </c>
      <c r="M231" s="212">
        <f>M232</f>
        <v>35730.11</v>
      </c>
    </row>
    <row r="232" spans="1:13" ht="45" customHeight="1">
      <c r="A232" s="4"/>
      <c r="B232" s="12" t="s">
        <v>241</v>
      </c>
      <c r="C232" s="2"/>
      <c r="D232" s="2"/>
      <c r="E232" s="2" t="s">
        <v>56</v>
      </c>
      <c r="F232" s="2"/>
      <c r="G232" s="47"/>
      <c r="H232" s="2"/>
      <c r="I232" s="47"/>
      <c r="J232" s="213">
        <f>J233+J241+J245</f>
        <v>41506.9972</v>
      </c>
      <c r="K232" s="213">
        <f>K233+K241+K245</f>
        <v>41506.9972</v>
      </c>
      <c r="L232" s="213">
        <f>L233+L241+L245</f>
        <v>36494.38099</v>
      </c>
      <c r="M232" s="213">
        <f>M233+M241+M245</f>
        <v>35730.11</v>
      </c>
    </row>
    <row r="233" spans="1:13" ht="30" customHeight="1">
      <c r="A233" s="4"/>
      <c r="B233" s="12" t="s">
        <v>242</v>
      </c>
      <c r="C233" s="4"/>
      <c r="D233" s="2"/>
      <c r="E233" s="2" t="s">
        <v>57</v>
      </c>
      <c r="F233" s="2"/>
      <c r="G233" s="47"/>
      <c r="H233" s="2"/>
      <c r="I233" s="47"/>
      <c r="J233" s="213">
        <f>J234+J238+J239</f>
        <v>36412.5582</v>
      </c>
      <c r="K233" s="213">
        <f>K234+K238+K239</f>
        <v>36412.5582</v>
      </c>
      <c r="L233" s="213">
        <f>L234+L238+L239</f>
        <v>34735.839009999996</v>
      </c>
      <c r="M233" s="213">
        <f>M234+M238+M239</f>
        <v>35500.11</v>
      </c>
    </row>
    <row r="234" spans="1:13" ht="45" customHeight="1">
      <c r="A234" s="4"/>
      <c r="B234" s="108" t="s">
        <v>243</v>
      </c>
      <c r="C234" s="4"/>
      <c r="D234" s="2"/>
      <c r="E234" s="1" t="s">
        <v>244</v>
      </c>
      <c r="F234" s="2"/>
      <c r="G234" s="141"/>
      <c r="H234" s="1"/>
      <c r="I234" s="141"/>
      <c r="J234" s="213">
        <f>J235+J236+J237+J240</f>
        <v>4799.6482</v>
      </c>
      <c r="K234" s="213">
        <f>K235+K236+K237+K240</f>
        <v>4799.6482</v>
      </c>
      <c r="L234" s="213">
        <f>L235+L236+L237+L240</f>
        <v>3887.2</v>
      </c>
      <c r="M234" s="213">
        <f>M235+M236+M237+M240</f>
        <v>3887.2</v>
      </c>
    </row>
    <row r="235" spans="1:13" ht="195.75" customHeight="1">
      <c r="A235" s="4"/>
      <c r="B235" s="7" t="s">
        <v>393</v>
      </c>
      <c r="C235" s="4" t="s">
        <v>427</v>
      </c>
      <c r="D235" s="2" t="s">
        <v>358</v>
      </c>
      <c r="E235" s="1" t="s">
        <v>394</v>
      </c>
      <c r="F235" s="2" t="s">
        <v>42</v>
      </c>
      <c r="G235" s="176" t="s">
        <v>678</v>
      </c>
      <c r="H235" s="1" t="s">
        <v>637</v>
      </c>
      <c r="I235" s="107" t="s">
        <v>638</v>
      </c>
      <c r="J235" s="277">
        <v>3389.1</v>
      </c>
      <c r="K235" s="277">
        <v>3389.1</v>
      </c>
      <c r="L235" s="277">
        <v>3389.1</v>
      </c>
      <c r="M235" s="277">
        <v>3389.1</v>
      </c>
    </row>
    <row r="236" spans="1:13" ht="110.25" customHeight="1">
      <c r="A236" s="293"/>
      <c r="B236" s="298" t="s">
        <v>396</v>
      </c>
      <c r="C236" s="4" t="s">
        <v>427</v>
      </c>
      <c r="D236" s="2" t="s">
        <v>358</v>
      </c>
      <c r="E236" s="1" t="s">
        <v>395</v>
      </c>
      <c r="F236" s="2" t="s">
        <v>38</v>
      </c>
      <c r="G236" s="324" t="s">
        <v>679</v>
      </c>
      <c r="H236" s="290" t="s">
        <v>637</v>
      </c>
      <c r="I236" s="301" t="s">
        <v>638</v>
      </c>
      <c r="J236" s="277">
        <f>60-60</f>
        <v>0</v>
      </c>
      <c r="K236" s="277">
        <f>60-60</f>
        <v>0</v>
      </c>
      <c r="L236" s="277">
        <v>60</v>
      </c>
      <c r="M236" s="277">
        <v>60</v>
      </c>
    </row>
    <row r="237" spans="1:13" ht="87" customHeight="1">
      <c r="A237" s="294"/>
      <c r="B237" s="299"/>
      <c r="C237" s="4" t="s">
        <v>427</v>
      </c>
      <c r="D237" s="4">
        <v>1102</v>
      </c>
      <c r="E237" s="1" t="s">
        <v>395</v>
      </c>
      <c r="F237" s="4">
        <v>610</v>
      </c>
      <c r="G237" s="326"/>
      <c r="H237" s="292"/>
      <c r="I237" s="302"/>
      <c r="J237" s="277">
        <f>438.1+191.34+60</f>
        <v>689.44</v>
      </c>
      <c r="K237" s="277">
        <f>438.1+191.34+60</f>
        <v>689.44</v>
      </c>
      <c r="L237" s="277">
        <f>438.1</f>
        <v>438.1</v>
      </c>
      <c r="M237" s="277">
        <f>438.1</f>
        <v>438.1</v>
      </c>
    </row>
    <row r="238" spans="1:60" ht="142.5" customHeight="1">
      <c r="A238" s="293"/>
      <c r="B238" s="298" t="s">
        <v>245</v>
      </c>
      <c r="C238" s="4" t="s">
        <v>427</v>
      </c>
      <c r="D238" s="4">
        <v>1102</v>
      </c>
      <c r="E238" s="1" t="s">
        <v>440</v>
      </c>
      <c r="F238" s="4">
        <v>610</v>
      </c>
      <c r="G238" s="318" t="s">
        <v>635</v>
      </c>
      <c r="H238" s="290" t="s">
        <v>908</v>
      </c>
      <c r="I238" s="290" t="s">
        <v>636</v>
      </c>
      <c r="J238" s="277">
        <v>19327.26</v>
      </c>
      <c r="K238" s="277">
        <v>19327.26</v>
      </c>
      <c r="L238" s="277">
        <f>18327.26+1000</f>
        <v>19327.26</v>
      </c>
      <c r="M238" s="277">
        <f>18327.26+1000</f>
        <v>19327.26</v>
      </c>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row>
    <row r="239" spans="1:60" ht="120" customHeight="1">
      <c r="A239" s="294"/>
      <c r="B239" s="299"/>
      <c r="C239" s="4" t="s">
        <v>427</v>
      </c>
      <c r="D239" s="4">
        <v>1102</v>
      </c>
      <c r="E239" s="1" t="s">
        <v>439</v>
      </c>
      <c r="F239" s="4">
        <v>620</v>
      </c>
      <c r="G239" s="319"/>
      <c r="H239" s="292"/>
      <c r="I239" s="292"/>
      <c r="J239" s="277">
        <v>12285.65</v>
      </c>
      <c r="K239" s="277">
        <f>12285.65</f>
        <v>12285.65</v>
      </c>
      <c r="L239" s="277">
        <f>13285.65-1000-764.27099</f>
        <v>11521.37901</v>
      </c>
      <c r="M239" s="277">
        <f>13285.65-1000</f>
        <v>12285.65</v>
      </c>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row>
    <row r="240" spans="1:60" ht="74.25" customHeight="1">
      <c r="A240" s="100"/>
      <c r="B240" s="136" t="s">
        <v>819</v>
      </c>
      <c r="C240" s="4" t="s">
        <v>427</v>
      </c>
      <c r="D240" s="4">
        <v>1102</v>
      </c>
      <c r="E240" s="1" t="s">
        <v>818</v>
      </c>
      <c r="F240" s="4">
        <v>610</v>
      </c>
      <c r="G240" s="235" t="s">
        <v>909</v>
      </c>
      <c r="H240" s="105" t="s">
        <v>794</v>
      </c>
      <c r="I240" s="105" t="s">
        <v>910</v>
      </c>
      <c r="J240" s="277">
        <v>721.1082</v>
      </c>
      <c r="K240" s="277">
        <v>721.1082</v>
      </c>
      <c r="L240" s="277">
        <v>0</v>
      </c>
      <c r="M240" s="277">
        <v>0</v>
      </c>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row>
    <row r="241" spans="1:60" ht="45" customHeight="1">
      <c r="A241" s="4"/>
      <c r="B241" s="12" t="s">
        <v>246</v>
      </c>
      <c r="C241" s="4"/>
      <c r="D241" s="2"/>
      <c r="E241" s="2" t="s">
        <v>58</v>
      </c>
      <c r="F241" s="2"/>
      <c r="G241" s="25"/>
      <c r="H241" s="2"/>
      <c r="I241" s="47"/>
      <c r="J241" s="213">
        <f>J243+J244+J242</f>
        <v>4864.439</v>
      </c>
      <c r="K241" s="213">
        <f>K243+K244+K242</f>
        <v>4864.439</v>
      </c>
      <c r="L241" s="213">
        <f>L243+L244+L242</f>
        <v>1528.54198</v>
      </c>
      <c r="M241" s="213">
        <f>M243+M244+M242</f>
        <v>0</v>
      </c>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row>
    <row r="242" spans="1:60" ht="109.5" customHeight="1">
      <c r="A242" s="107"/>
      <c r="B242" s="110" t="s">
        <v>430</v>
      </c>
      <c r="C242" s="2" t="s">
        <v>427</v>
      </c>
      <c r="D242" s="4">
        <v>1102</v>
      </c>
      <c r="E242" s="106" t="s">
        <v>431</v>
      </c>
      <c r="F242" s="10" t="s">
        <v>42</v>
      </c>
      <c r="G242" s="160" t="s">
        <v>911</v>
      </c>
      <c r="H242" s="137" t="s">
        <v>634</v>
      </c>
      <c r="I242" s="156" t="s">
        <v>912</v>
      </c>
      <c r="J242" s="219">
        <f>805.33+2415.989</f>
        <v>3221.319</v>
      </c>
      <c r="K242" s="219">
        <f>805.33+2415.989</f>
        <v>3221.319</v>
      </c>
      <c r="L242" s="219">
        <v>0</v>
      </c>
      <c r="M242" s="219">
        <v>0</v>
      </c>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row>
    <row r="243" spans="1:60" ht="95.25" customHeight="1">
      <c r="A243" s="293"/>
      <c r="B243" s="298" t="s">
        <v>537</v>
      </c>
      <c r="C243" s="2" t="s">
        <v>427</v>
      </c>
      <c r="D243" s="4">
        <v>1102</v>
      </c>
      <c r="E243" s="106" t="s">
        <v>359</v>
      </c>
      <c r="F243" s="10" t="s">
        <v>42</v>
      </c>
      <c r="G243" s="324" t="s">
        <v>913</v>
      </c>
      <c r="H243" s="290" t="s">
        <v>633</v>
      </c>
      <c r="I243" s="290" t="s">
        <v>906</v>
      </c>
      <c r="J243" s="219">
        <f>523.12+560</f>
        <v>1083.12</v>
      </c>
      <c r="K243" s="219">
        <f>523.12+560</f>
        <v>1083.12</v>
      </c>
      <c r="L243" s="219">
        <f>764.27099+764.27099</f>
        <v>1528.54198</v>
      </c>
      <c r="M243" s="219">
        <v>0</v>
      </c>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row>
    <row r="244" spans="1:60" ht="95.25" customHeight="1">
      <c r="A244" s="294"/>
      <c r="B244" s="299"/>
      <c r="C244" s="2" t="s">
        <v>427</v>
      </c>
      <c r="D244" s="4">
        <v>1102</v>
      </c>
      <c r="E244" s="106" t="s">
        <v>359</v>
      </c>
      <c r="F244" s="10" t="s">
        <v>276</v>
      </c>
      <c r="G244" s="326"/>
      <c r="H244" s="292"/>
      <c r="I244" s="292"/>
      <c r="J244" s="219">
        <v>560</v>
      </c>
      <c r="K244" s="277">
        <v>560</v>
      </c>
      <c r="L244" s="219">
        <v>0</v>
      </c>
      <c r="M244" s="219">
        <v>0</v>
      </c>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row>
    <row r="245" spans="1:60" ht="45" customHeight="1">
      <c r="A245" s="4"/>
      <c r="B245" s="12" t="s">
        <v>52</v>
      </c>
      <c r="C245" s="4"/>
      <c r="D245" s="2"/>
      <c r="E245" s="2" t="s">
        <v>59</v>
      </c>
      <c r="F245" s="2"/>
      <c r="G245" s="27"/>
      <c r="H245" s="2"/>
      <c r="I245" s="47"/>
      <c r="J245" s="213">
        <f>J246+J247+J248</f>
        <v>230</v>
      </c>
      <c r="K245" s="213">
        <f>K246+K247+K248</f>
        <v>230</v>
      </c>
      <c r="L245" s="213">
        <f>L246+L247+L248</f>
        <v>230</v>
      </c>
      <c r="M245" s="213">
        <f>M246+M247+M248</f>
        <v>230</v>
      </c>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row>
    <row r="246" spans="1:60" ht="45">
      <c r="A246" s="4"/>
      <c r="B246" s="57" t="s">
        <v>60</v>
      </c>
      <c r="C246" s="2" t="s">
        <v>427</v>
      </c>
      <c r="D246" s="4">
        <v>1105</v>
      </c>
      <c r="E246" s="2" t="s">
        <v>247</v>
      </c>
      <c r="F246" s="10" t="s">
        <v>42</v>
      </c>
      <c r="G246" s="324" t="s">
        <v>631</v>
      </c>
      <c r="H246" s="286" t="s">
        <v>632</v>
      </c>
      <c r="I246" s="286" t="s">
        <v>914</v>
      </c>
      <c r="J246" s="277">
        <v>75</v>
      </c>
      <c r="K246" s="277">
        <v>75</v>
      </c>
      <c r="L246" s="277">
        <v>75</v>
      </c>
      <c r="M246" s="277">
        <v>75</v>
      </c>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row>
    <row r="247" spans="1:60" ht="22.5" customHeight="1">
      <c r="A247" s="4"/>
      <c r="B247" s="298" t="s">
        <v>61</v>
      </c>
      <c r="C247" s="2" t="s">
        <v>427</v>
      </c>
      <c r="D247" s="4">
        <v>1105</v>
      </c>
      <c r="E247" s="2" t="s">
        <v>248</v>
      </c>
      <c r="F247" s="10" t="s">
        <v>38</v>
      </c>
      <c r="G247" s="325"/>
      <c r="H247" s="287"/>
      <c r="I247" s="287"/>
      <c r="J247" s="277">
        <f>95-95</f>
        <v>0</v>
      </c>
      <c r="K247" s="277">
        <f>95-95</f>
        <v>0</v>
      </c>
      <c r="L247" s="277">
        <v>95</v>
      </c>
      <c r="M247" s="277">
        <v>95</v>
      </c>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row>
    <row r="248" spans="1:60" ht="29.25" customHeight="1">
      <c r="A248" s="4"/>
      <c r="B248" s="299"/>
      <c r="C248" s="2" t="s">
        <v>427</v>
      </c>
      <c r="D248" s="4">
        <v>1105</v>
      </c>
      <c r="E248" s="2" t="s">
        <v>248</v>
      </c>
      <c r="F248" s="10" t="s">
        <v>42</v>
      </c>
      <c r="G248" s="326"/>
      <c r="H248" s="323"/>
      <c r="I248" s="323"/>
      <c r="J248" s="277">
        <f>60+95</f>
        <v>155</v>
      </c>
      <c r="K248" s="277">
        <f>60+95</f>
        <v>155</v>
      </c>
      <c r="L248" s="277">
        <f>60</f>
        <v>60</v>
      </c>
      <c r="M248" s="277">
        <f>60</f>
        <v>60</v>
      </c>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row>
    <row r="249" spans="1:13" s="68" customFormat="1" ht="30" customHeight="1">
      <c r="A249" s="78" t="s">
        <v>216</v>
      </c>
      <c r="B249" s="86" t="s">
        <v>220</v>
      </c>
      <c r="C249" s="86"/>
      <c r="D249" s="86"/>
      <c r="E249" s="86"/>
      <c r="F249" s="86"/>
      <c r="G249" s="86"/>
      <c r="H249" s="86"/>
      <c r="I249" s="86"/>
      <c r="J249" s="212">
        <f aca="true" t="shared" si="11" ref="J249:M250">J250</f>
        <v>2101.1</v>
      </c>
      <c r="K249" s="212">
        <f t="shared" si="11"/>
        <v>2101.1</v>
      </c>
      <c r="L249" s="212">
        <f t="shared" si="11"/>
        <v>1500</v>
      </c>
      <c r="M249" s="212">
        <f t="shared" si="11"/>
        <v>2101.1</v>
      </c>
    </row>
    <row r="250" spans="1:13" s="68" customFormat="1" ht="30" customHeight="1">
      <c r="A250" s="2"/>
      <c r="B250" s="57" t="s">
        <v>224</v>
      </c>
      <c r="C250" s="2"/>
      <c r="D250" s="2"/>
      <c r="E250" s="2" t="s">
        <v>225</v>
      </c>
      <c r="F250" s="2"/>
      <c r="G250" s="2"/>
      <c r="H250" s="2"/>
      <c r="I250" s="2"/>
      <c r="J250" s="213">
        <f t="shared" si="11"/>
        <v>2101.1</v>
      </c>
      <c r="K250" s="213">
        <f t="shared" si="11"/>
        <v>2101.1</v>
      </c>
      <c r="L250" s="213">
        <f t="shared" si="11"/>
        <v>1500</v>
      </c>
      <c r="M250" s="213">
        <f t="shared" si="11"/>
        <v>2101.1</v>
      </c>
    </row>
    <row r="251" spans="1:13" s="68" customFormat="1" ht="58.5" customHeight="1">
      <c r="A251" s="2"/>
      <c r="B251" s="57" t="s">
        <v>226</v>
      </c>
      <c r="C251" s="2" t="s">
        <v>4</v>
      </c>
      <c r="D251" s="2" t="s">
        <v>230</v>
      </c>
      <c r="E251" s="2" t="s">
        <v>227</v>
      </c>
      <c r="F251" s="2" t="s">
        <v>38</v>
      </c>
      <c r="G251" s="9" t="s">
        <v>741</v>
      </c>
      <c r="H251" s="4" t="s">
        <v>44</v>
      </c>
      <c r="I251" s="5" t="s">
        <v>445</v>
      </c>
      <c r="J251" s="213">
        <v>2101.1</v>
      </c>
      <c r="K251" s="213">
        <v>2101.1</v>
      </c>
      <c r="L251" s="213">
        <f>2101.1-601.1</f>
        <v>1500</v>
      </c>
      <c r="M251" s="213">
        <v>2101.1</v>
      </c>
    </row>
    <row r="252" spans="1:13" s="68" customFormat="1" ht="60" customHeight="1">
      <c r="A252" s="78" t="s">
        <v>217</v>
      </c>
      <c r="B252" s="86" t="s">
        <v>221</v>
      </c>
      <c r="C252" s="86"/>
      <c r="D252" s="86"/>
      <c r="E252" s="86"/>
      <c r="F252" s="86"/>
      <c r="G252" s="86"/>
      <c r="H252" s="86"/>
      <c r="I252" s="86"/>
      <c r="J252" s="212">
        <f aca="true" t="shared" si="12" ref="J252:M253">J253</f>
        <v>1600</v>
      </c>
      <c r="K252" s="212">
        <f t="shared" si="12"/>
        <v>1600</v>
      </c>
      <c r="L252" s="212">
        <f t="shared" si="12"/>
        <v>900</v>
      </c>
      <c r="M252" s="212">
        <f t="shared" si="12"/>
        <v>1600</v>
      </c>
    </row>
    <row r="253" spans="1:13" s="68" customFormat="1" ht="30" customHeight="1">
      <c r="A253" s="2"/>
      <c r="B253" s="57" t="s">
        <v>224</v>
      </c>
      <c r="C253" s="2"/>
      <c r="D253" s="2"/>
      <c r="E253" s="2" t="s">
        <v>225</v>
      </c>
      <c r="F253" s="57"/>
      <c r="G253" s="57"/>
      <c r="H253" s="57"/>
      <c r="I253" s="57"/>
      <c r="J253" s="213">
        <f t="shared" si="12"/>
        <v>1600</v>
      </c>
      <c r="K253" s="213">
        <f t="shared" si="12"/>
        <v>1600</v>
      </c>
      <c r="L253" s="213">
        <f t="shared" si="12"/>
        <v>900</v>
      </c>
      <c r="M253" s="213">
        <f t="shared" si="12"/>
        <v>1600</v>
      </c>
    </row>
    <row r="254" spans="1:13" s="68" customFormat="1" ht="60" customHeight="1">
      <c r="A254" s="2"/>
      <c r="B254" s="57" t="s">
        <v>226</v>
      </c>
      <c r="C254" s="2" t="s">
        <v>4</v>
      </c>
      <c r="D254" s="2" t="s">
        <v>230</v>
      </c>
      <c r="E254" s="2" t="s">
        <v>227</v>
      </c>
      <c r="F254" s="2" t="s">
        <v>38</v>
      </c>
      <c r="G254" s="9" t="s">
        <v>741</v>
      </c>
      <c r="H254" s="4" t="s">
        <v>44</v>
      </c>
      <c r="I254" s="5" t="s">
        <v>445</v>
      </c>
      <c r="J254" s="213">
        <v>1600</v>
      </c>
      <c r="K254" s="213">
        <v>1600</v>
      </c>
      <c r="L254" s="213">
        <f>1600-700</f>
        <v>900</v>
      </c>
      <c r="M254" s="213">
        <v>1600</v>
      </c>
    </row>
    <row r="255" spans="1:13" s="68" customFormat="1" ht="57.75" customHeight="1">
      <c r="A255" s="78" t="s">
        <v>479</v>
      </c>
      <c r="B255" s="86" t="s">
        <v>480</v>
      </c>
      <c r="C255" s="86"/>
      <c r="D255" s="86"/>
      <c r="E255" s="86"/>
      <c r="F255" s="86"/>
      <c r="G255" s="86"/>
      <c r="H255" s="86"/>
      <c r="I255" s="86"/>
      <c r="J255" s="212">
        <f aca="true" t="shared" si="13" ref="J255:M256">J256</f>
        <v>92.89</v>
      </c>
      <c r="K255" s="212">
        <f t="shared" si="13"/>
        <v>92.89</v>
      </c>
      <c r="L255" s="212">
        <f t="shared" si="13"/>
        <v>50</v>
      </c>
      <c r="M255" s="212">
        <f t="shared" si="13"/>
        <v>50</v>
      </c>
    </row>
    <row r="256" spans="1:13" s="68" customFormat="1" ht="48" customHeight="1">
      <c r="A256" s="2"/>
      <c r="B256" s="7" t="s">
        <v>234</v>
      </c>
      <c r="C256" s="4"/>
      <c r="D256" s="2"/>
      <c r="E256" s="2" t="s">
        <v>54</v>
      </c>
      <c r="F256" s="2"/>
      <c r="G256" s="9"/>
      <c r="H256" s="4"/>
      <c r="I256" s="5"/>
      <c r="J256" s="213">
        <f t="shared" si="13"/>
        <v>92.89</v>
      </c>
      <c r="K256" s="213">
        <f t="shared" si="13"/>
        <v>92.89</v>
      </c>
      <c r="L256" s="213">
        <f t="shared" si="13"/>
        <v>50</v>
      </c>
      <c r="M256" s="213">
        <f t="shared" si="13"/>
        <v>50</v>
      </c>
    </row>
    <row r="257" spans="1:13" s="68" customFormat="1" ht="72" customHeight="1">
      <c r="A257" s="2"/>
      <c r="B257" s="57" t="s">
        <v>481</v>
      </c>
      <c r="C257" s="2" t="s">
        <v>425</v>
      </c>
      <c r="D257" s="106" t="s">
        <v>103</v>
      </c>
      <c r="E257" s="2" t="s">
        <v>476</v>
      </c>
      <c r="F257" s="2" t="s">
        <v>38</v>
      </c>
      <c r="G257" s="9" t="s">
        <v>643</v>
      </c>
      <c r="H257" s="2" t="s">
        <v>44</v>
      </c>
      <c r="I257" s="2" t="s">
        <v>186</v>
      </c>
      <c r="J257" s="213">
        <f>141-25.015-13.095-10</f>
        <v>92.89</v>
      </c>
      <c r="K257" s="213">
        <f>141-25.015-13.095-10</f>
        <v>92.89</v>
      </c>
      <c r="L257" s="213">
        <v>50</v>
      </c>
      <c r="M257" s="213">
        <v>50</v>
      </c>
    </row>
    <row r="258" spans="1:13" s="68" customFormat="1" ht="105" customHeight="1">
      <c r="A258" s="78" t="s">
        <v>218</v>
      </c>
      <c r="B258" s="86" t="s">
        <v>222</v>
      </c>
      <c r="C258" s="86"/>
      <c r="D258" s="86"/>
      <c r="E258" s="86"/>
      <c r="F258" s="86"/>
      <c r="G258" s="86"/>
      <c r="H258" s="86"/>
      <c r="I258" s="86"/>
      <c r="J258" s="212">
        <f>J264+J259+J274+J270+J261</f>
        <v>77360.15958</v>
      </c>
      <c r="K258" s="212">
        <f>K264+K259+K274+K270+K261</f>
        <v>77357.95958</v>
      </c>
      <c r="L258" s="212">
        <f>L264+L259+L274+L270+L261</f>
        <v>23432.90793</v>
      </c>
      <c r="M258" s="212">
        <f>M264+M259+M274+M270+M261</f>
        <v>23460.22075</v>
      </c>
    </row>
    <row r="259" spans="1:13" s="26" customFormat="1" ht="45" customHeight="1">
      <c r="A259" s="2"/>
      <c r="B259" s="7" t="s">
        <v>234</v>
      </c>
      <c r="C259" s="4"/>
      <c r="D259" s="2"/>
      <c r="E259" s="2" t="s">
        <v>54</v>
      </c>
      <c r="F259" s="2"/>
      <c r="G259" s="3"/>
      <c r="H259" s="90"/>
      <c r="I259" s="105"/>
      <c r="J259" s="213">
        <f>J260</f>
        <v>156.84344</v>
      </c>
      <c r="K259" s="213">
        <f>K260</f>
        <v>156.84344</v>
      </c>
      <c r="L259" s="213">
        <f>L260</f>
        <v>147.6</v>
      </c>
      <c r="M259" s="213">
        <f>M260</f>
        <v>147.6</v>
      </c>
    </row>
    <row r="260" spans="1:13" s="26" customFormat="1" ht="70.5" customHeight="1">
      <c r="A260" s="2"/>
      <c r="B260" s="11" t="s">
        <v>325</v>
      </c>
      <c r="C260" s="2" t="s">
        <v>425</v>
      </c>
      <c r="D260" s="106" t="s">
        <v>103</v>
      </c>
      <c r="E260" s="2" t="s">
        <v>476</v>
      </c>
      <c r="F260" s="2" t="s">
        <v>38</v>
      </c>
      <c r="G260" s="9" t="s">
        <v>643</v>
      </c>
      <c r="H260" s="2" t="s">
        <v>44</v>
      </c>
      <c r="I260" s="2" t="s">
        <v>186</v>
      </c>
      <c r="J260" s="213">
        <f>331.395-174.55156</f>
        <v>156.84344</v>
      </c>
      <c r="K260" s="277">
        <f>331.395-174.55156</f>
        <v>156.84344</v>
      </c>
      <c r="L260" s="277">
        <v>147.6</v>
      </c>
      <c r="M260" s="277">
        <v>147.6</v>
      </c>
    </row>
    <row r="261" spans="1:60" ht="30" customHeight="1">
      <c r="A261" s="21"/>
      <c r="B261" s="12" t="s">
        <v>265</v>
      </c>
      <c r="C261" s="21"/>
      <c r="D261" s="21"/>
      <c r="E261" s="2" t="s">
        <v>55</v>
      </c>
      <c r="F261" s="21"/>
      <c r="G261" s="21"/>
      <c r="H261" s="21"/>
      <c r="I261" s="21"/>
      <c r="J261" s="213">
        <f aca="true" t="shared" si="14" ref="J261:M262">J262</f>
        <v>38770.0204</v>
      </c>
      <c r="K261" s="213">
        <f t="shared" si="14"/>
        <v>38770.0204</v>
      </c>
      <c r="L261" s="213">
        <f t="shared" si="14"/>
        <v>0</v>
      </c>
      <c r="M261" s="213">
        <f t="shared" si="14"/>
        <v>0</v>
      </c>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row>
    <row r="262" spans="1:60" ht="60" customHeight="1">
      <c r="A262" s="21"/>
      <c r="B262" s="12" t="s">
        <v>516</v>
      </c>
      <c r="C262" s="21"/>
      <c r="D262" s="21"/>
      <c r="E262" s="2" t="s">
        <v>517</v>
      </c>
      <c r="F262" s="21"/>
      <c r="G262" s="21"/>
      <c r="H262" s="21"/>
      <c r="I262" s="21"/>
      <c r="J262" s="213">
        <f t="shared" si="14"/>
        <v>38770.0204</v>
      </c>
      <c r="K262" s="213">
        <f t="shared" si="14"/>
        <v>38770.0204</v>
      </c>
      <c r="L262" s="213">
        <f t="shared" si="14"/>
        <v>0</v>
      </c>
      <c r="M262" s="213">
        <f t="shared" si="14"/>
        <v>0</v>
      </c>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row>
    <row r="263" spans="1:60" ht="102" customHeight="1">
      <c r="A263" s="21"/>
      <c r="B263" s="12" t="s">
        <v>416</v>
      </c>
      <c r="C263" s="2" t="s">
        <v>4</v>
      </c>
      <c r="D263" s="2" t="s">
        <v>230</v>
      </c>
      <c r="E263" s="2" t="s">
        <v>417</v>
      </c>
      <c r="F263" s="2" t="s">
        <v>38</v>
      </c>
      <c r="G263" s="126" t="s">
        <v>941</v>
      </c>
      <c r="H263" s="100" t="s">
        <v>520</v>
      </c>
      <c r="I263" s="100" t="s">
        <v>942</v>
      </c>
      <c r="J263" s="213">
        <f>29706.854+1235.0358+8350.7-482.5694-40</f>
        <v>38770.0204</v>
      </c>
      <c r="K263" s="213">
        <f>29706.854+1235.0358+8350.7-482.5694-40</f>
        <v>38770.0204</v>
      </c>
      <c r="L263" s="213">
        <v>0</v>
      </c>
      <c r="M263" s="213">
        <v>0</v>
      </c>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row>
    <row r="264" spans="1:13" s="26" customFormat="1" ht="39.75" customHeight="1">
      <c r="A264" s="2"/>
      <c r="B264" s="57" t="s">
        <v>224</v>
      </c>
      <c r="C264" s="2"/>
      <c r="D264" s="2"/>
      <c r="E264" s="2" t="s">
        <v>225</v>
      </c>
      <c r="F264" s="57"/>
      <c r="G264" s="57"/>
      <c r="H264" s="57"/>
      <c r="I264" s="57"/>
      <c r="J264" s="213">
        <f>J265+J266+J267+J268+J269</f>
        <v>16083.297840000001</v>
      </c>
      <c r="K264" s="213">
        <f>K265+K266+K267+K268+K269</f>
        <v>16083.297840000001</v>
      </c>
      <c r="L264" s="213">
        <f>L265+L266+L267+L268</f>
        <v>10521.518799999998</v>
      </c>
      <c r="M264" s="213">
        <f>M265+M266+M267+M268</f>
        <v>11022.699999999999</v>
      </c>
    </row>
    <row r="265" spans="1:13" s="68" customFormat="1" ht="36.75" customHeight="1">
      <c r="A265" s="1"/>
      <c r="B265" s="108" t="s">
        <v>226</v>
      </c>
      <c r="C265" s="2" t="s">
        <v>4</v>
      </c>
      <c r="D265" s="1" t="s">
        <v>230</v>
      </c>
      <c r="E265" s="1" t="s">
        <v>227</v>
      </c>
      <c r="F265" s="2" t="s">
        <v>38</v>
      </c>
      <c r="G265" s="314" t="s">
        <v>915</v>
      </c>
      <c r="H265" s="290" t="s">
        <v>364</v>
      </c>
      <c r="I265" s="290" t="s">
        <v>830</v>
      </c>
      <c r="J265" s="213">
        <f>9362.87-2800-120.55567+408.12067+981.17957-327.05986</f>
        <v>7504.554710000001</v>
      </c>
      <c r="K265" s="213">
        <f>9362.87-2800-120.55567+408.12067+981.17957-327.05986</f>
        <v>7504.554710000001</v>
      </c>
      <c r="L265" s="213">
        <f>9362.9-801.1812</f>
        <v>8561.718799999999</v>
      </c>
      <c r="M265" s="213">
        <v>9362.9</v>
      </c>
    </row>
    <row r="266" spans="1:13" s="68" customFormat="1" ht="35.25" customHeight="1">
      <c r="A266" s="2"/>
      <c r="B266" s="12" t="s">
        <v>228</v>
      </c>
      <c r="C266" s="2" t="s">
        <v>4</v>
      </c>
      <c r="D266" s="2" t="s">
        <v>230</v>
      </c>
      <c r="E266" s="2" t="s">
        <v>229</v>
      </c>
      <c r="F266" s="2" t="s">
        <v>38</v>
      </c>
      <c r="G266" s="315"/>
      <c r="H266" s="291"/>
      <c r="I266" s="291"/>
      <c r="J266" s="213">
        <f>1107.88+1000+400+146.08+272.43861+246.618-1143.32075</f>
        <v>2029.69586</v>
      </c>
      <c r="K266" s="213">
        <f>1107.88+1000+400+146.08+272.43861+246.618-1143.32075</f>
        <v>2029.69586</v>
      </c>
      <c r="L266" s="213">
        <f>4477.7-3069.8</f>
        <v>1407.8999999999996</v>
      </c>
      <c r="M266" s="213">
        <v>1107.9</v>
      </c>
    </row>
    <row r="267" spans="1:13" s="68" customFormat="1" ht="43.5" customHeight="1">
      <c r="A267" s="2"/>
      <c r="B267" s="12" t="s">
        <v>228</v>
      </c>
      <c r="C267" s="2" t="s">
        <v>4</v>
      </c>
      <c r="D267" s="2" t="s">
        <v>230</v>
      </c>
      <c r="E267" s="2" t="s">
        <v>229</v>
      </c>
      <c r="F267" s="2" t="s">
        <v>40</v>
      </c>
      <c r="G267" s="315"/>
      <c r="H267" s="291"/>
      <c r="I267" s="291"/>
      <c r="J267" s="213">
        <v>551.9</v>
      </c>
      <c r="K267" s="213">
        <v>551.9</v>
      </c>
      <c r="L267" s="213">
        <v>551.9</v>
      </c>
      <c r="M267" s="213">
        <v>551.9</v>
      </c>
    </row>
    <row r="268" spans="1:13" s="68" customFormat="1" ht="76.5" customHeight="1">
      <c r="A268" s="2"/>
      <c r="B268" s="57" t="s">
        <v>340</v>
      </c>
      <c r="C268" s="2" t="s">
        <v>4</v>
      </c>
      <c r="D268" s="2" t="s">
        <v>230</v>
      </c>
      <c r="E268" s="2" t="s">
        <v>341</v>
      </c>
      <c r="F268" s="2" t="s">
        <v>38</v>
      </c>
      <c r="G268" s="316"/>
      <c r="H268" s="292"/>
      <c r="I268" s="292"/>
      <c r="J268" s="213">
        <v>5514.9246</v>
      </c>
      <c r="K268" s="213">
        <v>5514.9246</v>
      </c>
      <c r="L268" s="213">
        <v>0</v>
      </c>
      <c r="M268" s="213">
        <v>0</v>
      </c>
    </row>
    <row r="269" spans="1:13" s="68" customFormat="1" ht="133.5" customHeight="1">
      <c r="A269" s="2"/>
      <c r="B269" s="57" t="s">
        <v>821</v>
      </c>
      <c r="C269" s="2" t="s">
        <v>4</v>
      </c>
      <c r="D269" s="2" t="s">
        <v>230</v>
      </c>
      <c r="E269" s="2" t="s">
        <v>820</v>
      </c>
      <c r="F269" s="2" t="s">
        <v>38</v>
      </c>
      <c r="G269" s="126" t="s">
        <v>916</v>
      </c>
      <c r="H269" s="100" t="s">
        <v>917</v>
      </c>
      <c r="I269" s="106" t="s">
        <v>918</v>
      </c>
      <c r="J269" s="213">
        <f>361.667+120.55567</f>
        <v>482.22267</v>
      </c>
      <c r="K269" s="213">
        <f>361.667+120.55567</f>
        <v>482.22267</v>
      </c>
      <c r="L269" s="213">
        <v>0</v>
      </c>
      <c r="M269" s="213">
        <v>0</v>
      </c>
    </row>
    <row r="270" spans="1:13" s="68" customFormat="1" ht="45" customHeight="1">
      <c r="A270" s="2"/>
      <c r="B270" s="57" t="s">
        <v>231</v>
      </c>
      <c r="C270" s="2"/>
      <c r="D270" s="2"/>
      <c r="E270" s="2" t="s">
        <v>232</v>
      </c>
      <c r="F270" s="2"/>
      <c r="G270" s="9"/>
      <c r="H270" s="4"/>
      <c r="I270" s="5"/>
      <c r="J270" s="213">
        <f>J271+J273+J272</f>
        <v>17364.54374</v>
      </c>
      <c r="K270" s="213">
        <f>K271+K273+K272</f>
        <v>17364.54374</v>
      </c>
      <c r="L270" s="213">
        <f>L271+L273+L272</f>
        <v>12107.289130000001</v>
      </c>
      <c r="M270" s="213">
        <f>M271+M273+M272</f>
        <v>11633.420750000001</v>
      </c>
    </row>
    <row r="271" spans="1:13" s="68" customFormat="1" ht="32.25" customHeight="1">
      <c r="A271" s="2"/>
      <c r="B271" s="57" t="s">
        <v>233</v>
      </c>
      <c r="C271" s="2" t="s">
        <v>4</v>
      </c>
      <c r="D271" s="2" t="s">
        <v>230</v>
      </c>
      <c r="E271" s="2" t="s">
        <v>345</v>
      </c>
      <c r="F271" s="2" t="s">
        <v>38</v>
      </c>
      <c r="G271" s="296" t="s">
        <v>920</v>
      </c>
      <c r="H271" s="293" t="s">
        <v>520</v>
      </c>
      <c r="I271" s="288" t="s">
        <v>919</v>
      </c>
      <c r="J271" s="213">
        <f>388.77+0.03+2408.12067-0.03</f>
        <v>2796.8906699999993</v>
      </c>
      <c r="K271" s="213">
        <f>388.77+0.03+2408.12067-0.03</f>
        <v>2796.8906699999993</v>
      </c>
      <c r="L271" s="213">
        <v>406.5</v>
      </c>
      <c r="M271" s="213">
        <v>1013.2</v>
      </c>
    </row>
    <row r="272" spans="1:13" s="68" customFormat="1" ht="69.75" customHeight="1">
      <c r="A272" s="2"/>
      <c r="B272" s="57" t="s">
        <v>710</v>
      </c>
      <c r="C272" s="2" t="s">
        <v>4</v>
      </c>
      <c r="D272" s="2" t="s">
        <v>230</v>
      </c>
      <c r="E272" s="2" t="s">
        <v>711</v>
      </c>
      <c r="F272" s="2" t="s">
        <v>38</v>
      </c>
      <c r="G272" s="317"/>
      <c r="H272" s="295"/>
      <c r="I272" s="289"/>
      <c r="J272" s="213">
        <f>4381.3421</f>
        <v>4381.3421</v>
      </c>
      <c r="K272" s="213">
        <f>4381.3421</f>
        <v>4381.3421</v>
      </c>
      <c r="L272" s="213">
        <f>3939.7-3939.7+972.51154+108.05684</f>
        <v>1080.56838</v>
      </c>
      <c r="M272" s="213">
        <f>3939.7-3939.7</f>
        <v>0</v>
      </c>
    </row>
    <row r="273" spans="1:13" s="68" customFormat="1" ht="60" customHeight="1">
      <c r="A273" s="2"/>
      <c r="B273" s="57" t="s">
        <v>347</v>
      </c>
      <c r="C273" s="2" t="s">
        <v>4</v>
      </c>
      <c r="D273" s="2" t="s">
        <v>230</v>
      </c>
      <c r="E273" s="2" t="s">
        <v>346</v>
      </c>
      <c r="F273" s="2" t="s">
        <v>38</v>
      </c>
      <c r="G273" s="297"/>
      <c r="H273" s="294"/>
      <c r="I273" s="311"/>
      <c r="J273" s="213">
        <v>10186.31097</v>
      </c>
      <c r="K273" s="213">
        <v>10186.31097</v>
      </c>
      <c r="L273" s="213">
        <v>10620.22075</v>
      </c>
      <c r="M273" s="277">
        <v>10620.22075</v>
      </c>
    </row>
    <row r="274" spans="1:13" s="68" customFormat="1" ht="45" customHeight="1">
      <c r="A274" s="2"/>
      <c r="B274" s="57" t="s">
        <v>487</v>
      </c>
      <c r="C274" s="2"/>
      <c r="D274" s="2"/>
      <c r="E274" s="2" t="s">
        <v>486</v>
      </c>
      <c r="F274" s="2"/>
      <c r="G274" s="126"/>
      <c r="H274" s="100"/>
      <c r="I274" s="106"/>
      <c r="J274" s="213">
        <f>J275</f>
        <v>4985.454159999999</v>
      </c>
      <c r="K274" s="213">
        <f>K275</f>
        <v>4983.2541599999995</v>
      </c>
      <c r="L274" s="213">
        <f>L275</f>
        <v>656.5</v>
      </c>
      <c r="M274" s="213">
        <f>M275</f>
        <v>656.5</v>
      </c>
    </row>
    <row r="275" spans="1:13" s="68" customFormat="1" ht="60" customHeight="1">
      <c r="A275" s="2"/>
      <c r="B275" s="57" t="s">
        <v>484</v>
      </c>
      <c r="C275" s="2"/>
      <c r="D275" s="2"/>
      <c r="E275" s="2" t="s">
        <v>485</v>
      </c>
      <c r="F275" s="2"/>
      <c r="G275" s="126"/>
      <c r="H275" s="100"/>
      <c r="I275" s="106"/>
      <c r="J275" s="213">
        <f>J278+J279+J280+J277+J276</f>
        <v>4985.454159999999</v>
      </c>
      <c r="K275" s="213">
        <f>K278+K279+K280+K277+K276</f>
        <v>4983.2541599999995</v>
      </c>
      <c r="L275" s="213">
        <f>L278+L279+L280+L277+L276</f>
        <v>656.5</v>
      </c>
      <c r="M275" s="213">
        <f>M278+M279+M280+M277+M276</f>
        <v>656.5</v>
      </c>
    </row>
    <row r="276" spans="1:13" s="68" customFormat="1" ht="156.75" customHeight="1">
      <c r="A276" s="2"/>
      <c r="B276" s="57" t="s">
        <v>984</v>
      </c>
      <c r="C276" s="2" t="s">
        <v>4</v>
      </c>
      <c r="D276" s="2" t="s">
        <v>230</v>
      </c>
      <c r="E276" s="2" t="s">
        <v>985</v>
      </c>
      <c r="F276" s="2" t="s">
        <v>38</v>
      </c>
      <c r="G276" s="264" t="s">
        <v>986</v>
      </c>
      <c r="H276" s="197" t="s">
        <v>987</v>
      </c>
      <c r="I276" s="263" t="s">
        <v>988</v>
      </c>
      <c r="J276" s="213">
        <v>826.5</v>
      </c>
      <c r="K276" s="213">
        <v>826.5</v>
      </c>
      <c r="L276" s="213">
        <v>0</v>
      </c>
      <c r="M276" s="213">
        <v>0</v>
      </c>
    </row>
    <row r="277" spans="1:13" s="68" customFormat="1" ht="30" customHeight="1">
      <c r="A277" s="2"/>
      <c r="B277" s="57" t="s">
        <v>751</v>
      </c>
      <c r="C277" s="2" t="s">
        <v>4</v>
      </c>
      <c r="D277" s="2" t="s">
        <v>230</v>
      </c>
      <c r="E277" s="2" t="s">
        <v>752</v>
      </c>
      <c r="F277" s="2" t="s">
        <v>38</v>
      </c>
      <c r="G277" s="296" t="s">
        <v>921</v>
      </c>
      <c r="H277" s="293" t="s">
        <v>922</v>
      </c>
      <c r="I277" s="290" t="s">
        <v>851</v>
      </c>
      <c r="J277" s="213">
        <f>0.69898+348.7939+3145.43592-17.47464</f>
        <v>3477.45416</v>
      </c>
      <c r="K277" s="213">
        <f>0.69898+348.7939+3145.43592-17.47464</f>
        <v>3477.45416</v>
      </c>
      <c r="L277" s="213">
        <v>0</v>
      </c>
      <c r="M277" s="213">
        <v>0</v>
      </c>
    </row>
    <row r="278" spans="1:13" s="68" customFormat="1" ht="33.75" customHeight="1">
      <c r="A278" s="2"/>
      <c r="B278" s="57" t="s">
        <v>488</v>
      </c>
      <c r="C278" s="2" t="s">
        <v>425</v>
      </c>
      <c r="D278" s="2" t="s">
        <v>230</v>
      </c>
      <c r="E278" s="2" t="s">
        <v>491</v>
      </c>
      <c r="F278" s="2" t="s">
        <v>38</v>
      </c>
      <c r="G278" s="329"/>
      <c r="H278" s="295"/>
      <c r="I278" s="291"/>
      <c r="J278" s="213">
        <v>2.2</v>
      </c>
      <c r="K278" s="213">
        <v>0</v>
      </c>
      <c r="L278" s="213">
        <v>2.2</v>
      </c>
      <c r="M278" s="215">
        <v>2.2</v>
      </c>
    </row>
    <row r="279" spans="1:13" s="68" customFormat="1" ht="33" customHeight="1">
      <c r="A279" s="2"/>
      <c r="B279" s="57" t="s">
        <v>489</v>
      </c>
      <c r="C279" s="2" t="s">
        <v>425</v>
      </c>
      <c r="D279" s="2" t="s">
        <v>230</v>
      </c>
      <c r="E279" s="2" t="s">
        <v>492</v>
      </c>
      <c r="F279" s="2" t="s">
        <v>40</v>
      </c>
      <c r="G279" s="329"/>
      <c r="H279" s="295"/>
      <c r="I279" s="291"/>
      <c r="J279" s="213">
        <v>500</v>
      </c>
      <c r="K279" s="213">
        <v>500</v>
      </c>
      <c r="L279" s="213">
        <v>500</v>
      </c>
      <c r="M279" s="215">
        <v>500</v>
      </c>
    </row>
    <row r="280" spans="1:13" s="68" customFormat="1" ht="45" customHeight="1">
      <c r="A280" s="2"/>
      <c r="B280" s="57" t="s">
        <v>490</v>
      </c>
      <c r="C280" s="2" t="s">
        <v>425</v>
      </c>
      <c r="D280" s="2" t="s">
        <v>230</v>
      </c>
      <c r="E280" s="2" t="s">
        <v>493</v>
      </c>
      <c r="F280" s="2" t="s">
        <v>40</v>
      </c>
      <c r="G280" s="285"/>
      <c r="H280" s="294"/>
      <c r="I280" s="292"/>
      <c r="J280" s="213">
        <f>154.3+25</f>
        <v>179.3</v>
      </c>
      <c r="K280" s="213">
        <f>154.3+25</f>
        <v>179.3</v>
      </c>
      <c r="L280" s="213">
        <v>154.3</v>
      </c>
      <c r="M280" s="215">
        <v>154.3</v>
      </c>
    </row>
    <row r="281" spans="1:13" s="68" customFormat="1" ht="120" customHeight="1">
      <c r="A281" s="78" t="s">
        <v>219</v>
      </c>
      <c r="B281" s="86" t="s">
        <v>223</v>
      </c>
      <c r="C281" s="86"/>
      <c r="D281" s="86"/>
      <c r="E281" s="86"/>
      <c r="F281" s="86"/>
      <c r="G281" s="86"/>
      <c r="H281" s="86"/>
      <c r="I281" s="86"/>
      <c r="J281" s="212">
        <f>J282+J286</f>
        <v>5306.95257</v>
      </c>
      <c r="K281" s="212">
        <f>K282+K286</f>
        <v>4163.6315700000005</v>
      </c>
      <c r="L281" s="212">
        <f>L282+L286</f>
        <v>6878.2319800000005</v>
      </c>
      <c r="M281" s="212">
        <f>M282+M286</f>
        <v>6862.90371</v>
      </c>
    </row>
    <row r="282" spans="1:13" s="68" customFormat="1" ht="33.75" customHeight="1">
      <c r="A282" s="2"/>
      <c r="B282" s="57" t="s">
        <v>224</v>
      </c>
      <c r="C282" s="2"/>
      <c r="D282" s="2"/>
      <c r="E282" s="2" t="s">
        <v>225</v>
      </c>
      <c r="F282" s="57"/>
      <c r="G282" s="57"/>
      <c r="H282" s="57"/>
      <c r="I282" s="57"/>
      <c r="J282" s="213">
        <f>J283+J284+J285</f>
        <v>5306.95247</v>
      </c>
      <c r="K282" s="213">
        <f>K283+K284+K285</f>
        <v>4163.63147</v>
      </c>
      <c r="L282" s="213">
        <f>L283+L284+L285</f>
        <v>3512.26038</v>
      </c>
      <c r="M282" s="213">
        <f>M283+M284+M285</f>
        <v>2284.94034</v>
      </c>
    </row>
    <row r="283" spans="1:13" s="68" customFormat="1" ht="39.75" customHeight="1">
      <c r="A283" s="2"/>
      <c r="B283" s="57" t="s">
        <v>226</v>
      </c>
      <c r="C283" s="2" t="s">
        <v>4</v>
      </c>
      <c r="D283" s="2" t="s">
        <v>230</v>
      </c>
      <c r="E283" s="2" t="s">
        <v>227</v>
      </c>
      <c r="F283" s="2" t="s">
        <v>38</v>
      </c>
      <c r="G283" s="296" t="s">
        <v>923</v>
      </c>
      <c r="H283" s="293" t="s">
        <v>540</v>
      </c>
      <c r="I283" s="288" t="s">
        <v>539</v>
      </c>
      <c r="J283" s="213">
        <v>1772.7</v>
      </c>
      <c r="K283" s="213">
        <v>1772.7</v>
      </c>
      <c r="L283" s="213">
        <f>1772.7+727.3</f>
        <v>2500</v>
      </c>
      <c r="M283" s="213">
        <v>1772.7</v>
      </c>
    </row>
    <row r="284" spans="1:13" s="68" customFormat="1" ht="33" customHeight="1">
      <c r="A284" s="2"/>
      <c r="B284" s="298" t="s">
        <v>348</v>
      </c>
      <c r="C284" s="2" t="s">
        <v>4</v>
      </c>
      <c r="D284" s="2" t="s">
        <v>230</v>
      </c>
      <c r="E284" s="2" t="s">
        <v>773</v>
      </c>
      <c r="F284" s="2" t="s">
        <v>38</v>
      </c>
      <c r="G284" s="317"/>
      <c r="H284" s="295"/>
      <c r="I284" s="289"/>
      <c r="J284" s="213">
        <v>1143.321</v>
      </c>
      <c r="K284" s="213">
        <v>0</v>
      </c>
      <c r="L284" s="213">
        <v>0</v>
      </c>
      <c r="M284" s="215">
        <v>0</v>
      </c>
    </row>
    <row r="285" spans="1:13" s="68" customFormat="1" ht="30" customHeight="1">
      <c r="A285" s="2"/>
      <c r="B285" s="299"/>
      <c r="C285" s="2" t="s">
        <v>4</v>
      </c>
      <c r="D285" s="2" t="s">
        <v>230</v>
      </c>
      <c r="E285" s="2" t="s">
        <v>850</v>
      </c>
      <c r="F285" s="2" t="s">
        <v>38</v>
      </c>
      <c r="G285" s="297"/>
      <c r="H285" s="294"/>
      <c r="I285" s="311"/>
      <c r="J285" s="213">
        <v>2390.93147</v>
      </c>
      <c r="K285" s="213">
        <v>2390.93147</v>
      </c>
      <c r="L285" s="213">
        <v>1012.26038</v>
      </c>
      <c r="M285" s="215">
        <v>512.24034</v>
      </c>
    </row>
    <row r="286" spans="1:13" s="68" customFormat="1" ht="33.75" customHeight="1">
      <c r="A286" s="2"/>
      <c r="B286" s="57" t="s">
        <v>231</v>
      </c>
      <c r="C286" s="2"/>
      <c r="D286" s="2"/>
      <c r="E286" s="2" t="s">
        <v>232</v>
      </c>
      <c r="F286" s="2"/>
      <c r="G286" s="9"/>
      <c r="H286" s="4"/>
      <c r="I286" s="5"/>
      <c r="J286" s="213">
        <f>J287+J288</f>
        <v>0.0001</v>
      </c>
      <c r="K286" s="213">
        <f>K287+K288</f>
        <v>0.0001</v>
      </c>
      <c r="L286" s="213">
        <f>L287+L288+L289</f>
        <v>3365.9716</v>
      </c>
      <c r="M286" s="213">
        <f>M287+M288+M289</f>
        <v>4577.9633699999995</v>
      </c>
    </row>
    <row r="287" spans="1:13" s="68" customFormat="1" ht="33.75" customHeight="1">
      <c r="A287" s="2"/>
      <c r="B287" s="57" t="s">
        <v>521</v>
      </c>
      <c r="C287" s="2" t="s">
        <v>4</v>
      </c>
      <c r="D287" s="2" t="s">
        <v>230</v>
      </c>
      <c r="E287" s="2" t="s">
        <v>522</v>
      </c>
      <c r="F287" s="2" t="s">
        <v>40</v>
      </c>
      <c r="G287" s="296" t="s">
        <v>924</v>
      </c>
      <c r="H287" s="293" t="s">
        <v>520</v>
      </c>
      <c r="I287" s="288" t="s">
        <v>919</v>
      </c>
      <c r="J287" s="213">
        <v>0</v>
      </c>
      <c r="K287" s="213">
        <v>0</v>
      </c>
      <c r="L287" s="213">
        <v>69.13769</v>
      </c>
      <c r="M287" s="213">
        <f>638.3-437.74037</f>
        <v>200.55962999999997</v>
      </c>
    </row>
    <row r="288" spans="1:13" s="68" customFormat="1" ht="63.75" customHeight="1">
      <c r="A288" s="2"/>
      <c r="B288" s="57" t="s">
        <v>343</v>
      </c>
      <c r="C288" s="2" t="s">
        <v>4</v>
      </c>
      <c r="D288" s="2" t="s">
        <v>230</v>
      </c>
      <c r="E288" s="2" t="s">
        <v>344</v>
      </c>
      <c r="F288" s="2" t="s">
        <v>40</v>
      </c>
      <c r="G288" s="317"/>
      <c r="H288" s="295"/>
      <c r="I288" s="289"/>
      <c r="J288" s="213">
        <v>0.0001</v>
      </c>
      <c r="K288" s="213">
        <v>0.0001</v>
      </c>
      <c r="L288" s="213">
        <f>392-392</f>
        <v>0</v>
      </c>
      <c r="M288" s="213">
        <v>0</v>
      </c>
    </row>
    <row r="289" spans="1:13" s="68" customFormat="1" ht="66.75" customHeight="1">
      <c r="A289" s="2"/>
      <c r="B289" s="57" t="s">
        <v>775</v>
      </c>
      <c r="C289" s="2" t="s">
        <v>4</v>
      </c>
      <c r="D289" s="2" t="s">
        <v>230</v>
      </c>
      <c r="E289" s="2" t="s">
        <v>776</v>
      </c>
      <c r="F289" s="2" t="s">
        <v>40</v>
      </c>
      <c r="G289" s="297"/>
      <c r="H289" s="294"/>
      <c r="I289" s="311"/>
      <c r="J289" s="213">
        <v>0</v>
      </c>
      <c r="K289" s="213">
        <v>0</v>
      </c>
      <c r="L289" s="213">
        <f>437.74023+3939.66206-108.05684-972.51154</f>
        <v>3296.83391</v>
      </c>
      <c r="M289" s="213">
        <f>437.74037+3939.66337</f>
        <v>4377.40374</v>
      </c>
    </row>
    <row r="290" spans="1:13" s="68" customFormat="1" ht="373.5" customHeight="1">
      <c r="A290" s="78" t="s">
        <v>668</v>
      </c>
      <c r="B290" s="86" t="s">
        <v>669</v>
      </c>
      <c r="C290" s="86"/>
      <c r="D290" s="86"/>
      <c r="E290" s="86"/>
      <c r="F290" s="86"/>
      <c r="G290" s="86"/>
      <c r="H290" s="86"/>
      <c r="I290" s="86"/>
      <c r="J290" s="212">
        <f aca="true" t="shared" si="15" ref="J290:M291">J291</f>
        <v>4351.861580000001</v>
      </c>
      <c r="K290" s="212">
        <f t="shared" si="15"/>
        <v>4351.861580000001</v>
      </c>
      <c r="L290" s="212">
        <f t="shared" si="15"/>
        <v>0</v>
      </c>
      <c r="M290" s="212">
        <f t="shared" si="15"/>
        <v>0</v>
      </c>
    </row>
    <row r="291" spans="1:13" s="26" customFormat="1" ht="45" customHeight="1">
      <c r="A291" s="2"/>
      <c r="B291" s="7" t="s">
        <v>670</v>
      </c>
      <c r="C291" s="57"/>
      <c r="D291" s="57"/>
      <c r="E291" s="57"/>
      <c r="F291" s="57"/>
      <c r="G291" s="109"/>
      <c r="H291" s="57"/>
      <c r="I291" s="57"/>
      <c r="J291" s="213">
        <f t="shared" si="15"/>
        <v>4351.861580000001</v>
      </c>
      <c r="K291" s="213">
        <f t="shared" si="15"/>
        <v>4351.861580000001</v>
      </c>
      <c r="L291" s="213">
        <f t="shared" si="15"/>
        <v>0</v>
      </c>
      <c r="M291" s="213">
        <f t="shared" si="15"/>
        <v>0</v>
      </c>
    </row>
    <row r="292" spans="1:13" s="26" customFormat="1" ht="45" customHeight="1">
      <c r="A292" s="2"/>
      <c r="B292" s="7" t="s">
        <v>671</v>
      </c>
      <c r="C292" s="57"/>
      <c r="D292" s="57"/>
      <c r="E292" s="2" t="s">
        <v>780</v>
      </c>
      <c r="F292" s="57"/>
      <c r="G292" s="109"/>
      <c r="H292" s="57"/>
      <c r="I292" s="57"/>
      <c r="J292" s="213">
        <f>J294+J293</f>
        <v>4351.861580000001</v>
      </c>
      <c r="K292" s="213">
        <f>K294+K293</f>
        <v>4351.861580000001</v>
      </c>
      <c r="L292" s="213">
        <f>L294</f>
        <v>0</v>
      </c>
      <c r="M292" s="213">
        <f>M294</f>
        <v>0</v>
      </c>
    </row>
    <row r="293" spans="1:13" s="26" customFormat="1" ht="54.75" customHeight="1">
      <c r="A293" s="2"/>
      <c r="B293" s="7" t="s">
        <v>779</v>
      </c>
      <c r="C293" s="2" t="s">
        <v>494</v>
      </c>
      <c r="D293" s="2" t="s">
        <v>8</v>
      </c>
      <c r="E293" s="2" t="s">
        <v>778</v>
      </c>
      <c r="F293" s="2" t="s">
        <v>38</v>
      </c>
      <c r="G293" s="131" t="s">
        <v>781</v>
      </c>
      <c r="H293" s="2" t="s">
        <v>782</v>
      </c>
      <c r="I293" s="57" t="s">
        <v>186</v>
      </c>
      <c r="J293" s="213">
        <v>199.30021</v>
      </c>
      <c r="K293" s="213">
        <v>199.30021</v>
      </c>
      <c r="L293" s="213">
        <v>0</v>
      </c>
      <c r="M293" s="213">
        <v>0</v>
      </c>
    </row>
    <row r="294" spans="1:13" s="68" customFormat="1" ht="121.5" customHeight="1">
      <c r="A294" s="2"/>
      <c r="B294" s="7" t="s">
        <v>672</v>
      </c>
      <c r="C294" s="2" t="s">
        <v>4</v>
      </c>
      <c r="D294" s="2" t="s">
        <v>8</v>
      </c>
      <c r="E294" s="2" t="s">
        <v>707</v>
      </c>
      <c r="F294" s="2" t="s">
        <v>38</v>
      </c>
      <c r="G294" s="185" t="s">
        <v>745</v>
      </c>
      <c r="H294" s="186" t="s">
        <v>708</v>
      </c>
      <c r="I294" s="187" t="s">
        <v>925</v>
      </c>
      <c r="J294" s="213">
        <f>622.88421+3529.67716</f>
        <v>4152.56137</v>
      </c>
      <c r="K294" s="213">
        <f>622.88421+3529.67716</f>
        <v>4152.56137</v>
      </c>
      <c r="L294" s="213">
        <v>0</v>
      </c>
      <c r="M294" s="213">
        <v>0</v>
      </c>
    </row>
    <row r="295" spans="1:63" s="59" customFormat="1" ht="165" customHeight="1">
      <c r="A295" s="78" t="s">
        <v>173</v>
      </c>
      <c r="B295" s="82" t="s">
        <v>172</v>
      </c>
      <c r="C295" s="86"/>
      <c r="D295" s="78"/>
      <c r="E295" s="86"/>
      <c r="F295" s="86"/>
      <c r="G295" s="84"/>
      <c r="H295" s="85"/>
      <c r="I295" s="85"/>
      <c r="J295" s="212">
        <f>J296</f>
        <v>5222.9780599999995</v>
      </c>
      <c r="K295" s="212">
        <f>K296</f>
        <v>5222.9780599999995</v>
      </c>
      <c r="L295" s="212">
        <f>L296</f>
        <v>3971.12</v>
      </c>
      <c r="M295" s="212">
        <f>M296</f>
        <v>3971.12</v>
      </c>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8"/>
    </row>
    <row r="296" spans="1:62" s="24" customFormat="1" ht="45" customHeight="1">
      <c r="A296" s="2"/>
      <c r="B296" s="12" t="s">
        <v>126</v>
      </c>
      <c r="C296" s="57"/>
      <c r="D296" s="2"/>
      <c r="E296" s="2" t="s">
        <v>54</v>
      </c>
      <c r="F296" s="57"/>
      <c r="G296" s="3"/>
      <c r="H296" s="5"/>
      <c r="I296" s="5"/>
      <c r="J296" s="213">
        <f>J297+J298+J299+J300</f>
        <v>5222.9780599999995</v>
      </c>
      <c r="K296" s="213">
        <f>K297+K298+K299+K300</f>
        <v>5222.9780599999995</v>
      </c>
      <c r="L296" s="213">
        <f>L297+L298+L299</f>
        <v>3971.12</v>
      </c>
      <c r="M296" s="213">
        <f>M297+M298+M299</f>
        <v>3971.12</v>
      </c>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55"/>
      <c r="BJ296" s="44"/>
    </row>
    <row r="297" spans="1:13" s="26" customFormat="1" ht="59.25" customHeight="1">
      <c r="A297" s="2"/>
      <c r="B297" s="330" t="s">
        <v>460</v>
      </c>
      <c r="C297" s="2" t="s">
        <v>425</v>
      </c>
      <c r="D297" s="2" t="s">
        <v>103</v>
      </c>
      <c r="E297" s="10" t="s">
        <v>455</v>
      </c>
      <c r="F297" s="2" t="s">
        <v>187</v>
      </c>
      <c r="G297" s="283" t="s">
        <v>680</v>
      </c>
      <c r="H297" s="288" t="s">
        <v>461</v>
      </c>
      <c r="I297" s="288" t="s">
        <v>462</v>
      </c>
      <c r="J297" s="213">
        <v>2741.7</v>
      </c>
      <c r="K297" s="277">
        <v>2741.7</v>
      </c>
      <c r="L297" s="277">
        <v>2741.7</v>
      </c>
      <c r="M297" s="277">
        <v>2741.7</v>
      </c>
    </row>
    <row r="298" spans="1:13" s="26" customFormat="1" ht="46.5" customHeight="1">
      <c r="A298" s="2"/>
      <c r="B298" s="338"/>
      <c r="C298" s="2" t="s">
        <v>425</v>
      </c>
      <c r="D298" s="2" t="s">
        <v>103</v>
      </c>
      <c r="E298" s="10" t="s">
        <v>455</v>
      </c>
      <c r="F298" s="2" t="s">
        <v>38</v>
      </c>
      <c r="G298" s="328"/>
      <c r="H298" s="328"/>
      <c r="I298" s="328"/>
      <c r="J298" s="213">
        <v>204.7</v>
      </c>
      <c r="K298" s="277">
        <v>204.7</v>
      </c>
      <c r="L298" s="277">
        <v>147.8</v>
      </c>
      <c r="M298" s="277">
        <v>147.8</v>
      </c>
    </row>
    <row r="299" spans="1:13" ht="36" customHeight="1">
      <c r="A299" s="2"/>
      <c r="B299" s="330" t="s">
        <v>474</v>
      </c>
      <c r="C299" s="2" t="s">
        <v>425</v>
      </c>
      <c r="D299" s="2" t="s">
        <v>103</v>
      </c>
      <c r="E299" s="10" t="s">
        <v>473</v>
      </c>
      <c r="F299" s="2" t="s">
        <v>38</v>
      </c>
      <c r="G299" s="296" t="s">
        <v>698</v>
      </c>
      <c r="H299" s="351" t="s">
        <v>699</v>
      </c>
      <c r="I299" s="293" t="s">
        <v>700</v>
      </c>
      <c r="J299" s="213">
        <f>385.8-373.3+10+1881.8067</f>
        <v>1904.3067</v>
      </c>
      <c r="K299" s="213">
        <f>385.8-373.3+10+1881.8067</f>
        <v>1904.3067</v>
      </c>
      <c r="L299" s="213">
        <v>1081.62</v>
      </c>
      <c r="M299" s="213">
        <v>1081.62</v>
      </c>
    </row>
    <row r="300" spans="1:13" ht="36" customHeight="1">
      <c r="A300" s="2"/>
      <c r="B300" s="308"/>
      <c r="C300" s="2" t="s">
        <v>427</v>
      </c>
      <c r="D300" s="2" t="s">
        <v>103</v>
      </c>
      <c r="E300" s="10" t="s">
        <v>473</v>
      </c>
      <c r="F300" s="2" t="s">
        <v>42</v>
      </c>
      <c r="G300" s="285"/>
      <c r="H300" s="308"/>
      <c r="I300" s="285"/>
      <c r="J300" s="277">
        <f>348.3+25-1.02864</f>
        <v>372.27136</v>
      </c>
      <c r="K300" s="277">
        <f>348.3+25-1.02864</f>
        <v>372.27136</v>
      </c>
      <c r="L300" s="277">
        <v>0</v>
      </c>
      <c r="M300" s="277">
        <v>0</v>
      </c>
    </row>
    <row r="301" spans="1:13" ht="60" customHeight="1">
      <c r="A301" s="78" t="s">
        <v>452</v>
      </c>
      <c r="B301" s="86" t="s">
        <v>453</v>
      </c>
      <c r="C301" s="86"/>
      <c r="D301" s="86"/>
      <c r="E301" s="86"/>
      <c r="F301" s="86"/>
      <c r="G301" s="86"/>
      <c r="H301" s="86"/>
      <c r="I301" s="86"/>
      <c r="J301" s="212">
        <f>J302</f>
        <v>1718.8405</v>
      </c>
      <c r="K301" s="212">
        <f>K302</f>
        <v>1718.8405</v>
      </c>
      <c r="L301" s="212">
        <f>L302</f>
        <v>1154.8000000000002</v>
      </c>
      <c r="M301" s="212">
        <f>M302</f>
        <v>1154.8000000000002</v>
      </c>
    </row>
    <row r="302" spans="1:13" ht="45" customHeight="1">
      <c r="A302" s="2"/>
      <c r="B302" s="12" t="s">
        <v>126</v>
      </c>
      <c r="C302" s="2"/>
      <c r="D302" s="2"/>
      <c r="E302" s="2" t="s">
        <v>54</v>
      </c>
      <c r="F302" s="2"/>
      <c r="G302" s="126"/>
      <c r="H302" s="127"/>
      <c r="I302" s="100"/>
      <c r="J302" s="213">
        <f>J303+J304+J305</f>
        <v>1718.8405</v>
      </c>
      <c r="K302" s="213">
        <f>K303+K304+K305</f>
        <v>1718.8405</v>
      </c>
      <c r="L302" s="213">
        <f>L303+L304+L305</f>
        <v>1154.8000000000002</v>
      </c>
      <c r="M302" s="213">
        <f>M303+M304+M305</f>
        <v>1154.8000000000002</v>
      </c>
    </row>
    <row r="303" spans="1:13" ht="33.75" customHeight="1">
      <c r="A303" s="2"/>
      <c r="B303" s="280" t="s">
        <v>454</v>
      </c>
      <c r="C303" s="2" t="s">
        <v>425</v>
      </c>
      <c r="D303" s="2" t="s">
        <v>103</v>
      </c>
      <c r="E303" s="10" t="s">
        <v>455</v>
      </c>
      <c r="F303" s="2" t="s">
        <v>187</v>
      </c>
      <c r="G303" s="296" t="s">
        <v>457</v>
      </c>
      <c r="H303" s="288" t="s">
        <v>458</v>
      </c>
      <c r="I303" s="293" t="s">
        <v>186</v>
      </c>
      <c r="J303" s="213">
        <f>1249.05-30.54-48.21</f>
        <v>1170.3</v>
      </c>
      <c r="K303" s="277">
        <f>1249.05-30.54-48.21</f>
        <v>1170.3</v>
      </c>
      <c r="L303" s="277">
        <v>877.7</v>
      </c>
      <c r="M303" s="277">
        <v>877.7</v>
      </c>
    </row>
    <row r="304" spans="1:13" ht="32.25" customHeight="1">
      <c r="A304" s="2"/>
      <c r="B304" s="281"/>
      <c r="C304" s="2" t="s">
        <v>425</v>
      </c>
      <c r="D304" s="2" t="s">
        <v>103</v>
      </c>
      <c r="E304" s="10" t="s">
        <v>455</v>
      </c>
      <c r="F304" s="2" t="s">
        <v>38</v>
      </c>
      <c r="G304" s="327"/>
      <c r="H304" s="327"/>
      <c r="I304" s="327"/>
      <c r="J304" s="277">
        <f>465.4905+30.54+48.21</f>
        <v>544.2405</v>
      </c>
      <c r="K304" s="277">
        <f>465.4905+30.54+48.21</f>
        <v>544.2405</v>
      </c>
      <c r="L304" s="277">
        <v>277.1</v>
      </c>
      <c r="M304" s="277">
        <v>277.1</v>
      </c>
    </row>
    <row r="305" spans="1:13" ht="33.75" customHeight="1">
      <c r="A305" s="2"/>
      <c r="B305" s="312"/>
      <c r="C305" s="2" t="s">
        <v>425</v>
      </c>
      <c r="D305" s="2" t="s">
        <v>103</v>
      </c>
      <c r="E305" s="10" t="s">
        <v>455</v>
      </c>
      <c r="F305" s="2" t="s">
        <v>39</v>
      </c>
      <c r="G305" s="328"/>
      <c r="H305" s="328"/>
      <c r="I305" s="328"/>
      <c r="J305" s="213">
        <v>4.3</v>
      </c>
      <c r="K305" s="277">
        <f>4.3</f>
        <v>4.3</v>
      </c>
      <c r="L305" s="277">
        <v>0</v>
      </c>
      <c r="M305" s="277">
        <v>0</v>
      </c>
    </row>
    <row r="306" spans="1:13" ht="75" customHeight="1">
      <c r="A306" s="78" t="s">
        <v>326</v>
      </c>
      <c r="B306" s="116" t="s">
        <v>471</v>
      </c>
      <c r="C306" s="78"/>
      <c r="D306" s="78"/>
      <c r="E306" s="101"/>
      <c r="F306" s="78"/>
      <c r="G306" s="128"/>
      <c r="H306" s="129"/>
      <c r="I306" s="130"/>
      <c r="J306" s="212">
        <f aca="true" t="shared" si="16" ref="J306:M307">J307</f>
        <v>32.2</v>
      </c>
      <c r="K306" s="212">
        <f t="shared" si="16"/>
        <v>32.2</v>
      </c>
      <c r="L306" s="212">
        <f t="shared" si="16"/>
        <v>66</v>
      </c>
      <c r="M306" s="212">
        <f t="shared" si="16"/>
        <v>66</v>
      </c>
    </row>
    <row r="307" spans="1:13" ht="45" customHeight="1">
      <c r="A307" s="2"/>
      <c r="B307" s="12" t="s">
        <v>126</v>
      </c>
      <c r="C307" s="57"/>
      <c r="D307" s="2"/>
      <c r="E307" s="2" t="s">
        <v>54</v>
      </c>
      <c r="F307" s="2"/>
      <c r="G307" s="126"/>
      <c r="H307" s="127"/>
      <c r="I307" s="100"/>
      <c r="J307" s="213">
        <f>J308</f>
        <v>32.2</v>
      </c>
      <c r="K307" s="213">
        <f t="shared" si="16"/>
        <v>32.2</v>
      </c>
      <c r="L307" s="213">
        <f t="shared" si="16"/>
        <v>66</v>
      </c>
      <c r="M307" s="213">
        <f t="shared" si="16"/>
        <v>66</v>
      </c>
    </row>
    <row r="308" spans="1:13" ht="75.75" customHeight="1">
      <c r="A308" s="2"/>
      <c r="B308" s="7" t="s">
        <v>303</v>
      </c>
      <c r="C308" s="2" t="s">
        <v>425</v>
      </c>
      <c r="D308" s="2" t="s">
        <v>103</v>
      </c>
      <c r="E308" s="2" t="s">
        <v>472</v>
      </c>
      <c r="F308" s="2" t="s">
        <v>38</v>
      </c>
      <c r="G308" s="9" t="s">
        <v>643</v>
      </c>
      <c r="H308" s="2" t="s">
        <v>44</v>
      </c>
      <c r="I308" s="2" t="s">
        <v>186</v>
      </c>
      <c r="J308" s="213">
        <f>60-27.8</f>
        <v>32.2</v>
      </c>
      <c r="K308" s="213">
        <f>60-27.8</f>
        <v>32.2</v>
      </c>
      <c r="L308" s="213">
        <v>66</v>
      </c>
      <c r="M308" s="213">
        <v>66</v>
      </c>
    </row>
    <row r="309" spans="1:60" ht="45" customHeight="1">
      <c r="A309" s="78" t="s">
        <v>512</v>
      </c>
      <c r="B309" s="79" t="s">
        <v>513</v>
      </c>
      <c r="C309" s="78"/>
      <c r="D309" s="80"/>
      <c r="E309" s="80"/>
      <c r="F309" s="78"/>
      <c r="G309" s="81"/>
      <c r="H309" s="78"/>
      <c r="I309" s="78"/>
      <c r="J309" s="212">
        <f aca="true" t="shared" si="17" ref="J309:M311">J310</f>
        <v>2375.0249999999996</v>
      </c>
      <c r="K309" s="212">
        <f t="shared" si="17"/>
        <v>2375.0249999999996</v>
      </c>
      <c r="L309" s="212">
        <f t="shared" si="17"/>
        <v>0</v>
      </c>
      <c r="M309" s="212">
        <f t="shared" si="17"/>
        <v>1807.4</v>
      </c>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row>
    <row r="310" spans="1:60" ht="51.75" customHeight="1">
      <c r="A310" s="4"/>
      <c r="B310" s="12" t="s">
        <v>126</v>
      </c>
      <c r="C310" s="57"/>
      <c r="D310" s="2"/>
      <c r="E310" s="2" t="s">
        <v>54</v>
      </c>
      <c r="F310" s="2"/>
      <c r="G310" s="72"/>
      <c r="H310" s="72"/>
      <c r="I310" s="72"/>
      <c r="J310" s="213">
        <f t="shared" si="17"/>
        <v>2375.0249999999996</v>
      </c>
      <c r="K310" s="213">
        <f t="shared" si="17"/>
        <v>2375.0249999999996</v>
      </c>
      <c r="L310" s="213">
        <f t="shared" si="17"/>
        <v>0</v>
      </c>
      <c r="M310" s="213">
        <f t="shared" si="17"/>
        <v>1807.4</v>
      </c>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row>
    <row r="311" spans="1:60" ht="49.5" customHeight="1">
      <c r="A311" s="4"/>
      <c r="B311" s="7" t="s">
        <v>456</v>
      </c>
      <c r="C311" s="2"/>
      <c r="D311" s="2"/>
      <c r="E311" s="2" t="s">
        <v>459</v>
      </c>
      <c r="F311" s="2"/>
      <c r="G311" s="72"/>
      <c r="H311" s="72"/>
      <c r="I311" s="72"/>
      <c r="J311" s="213">
        <f>J312</f>
        <v>2375.0249999999996</v>
      </c>
      <c r="K311" s="213">
        <f t="shared" si="17"/>
        <v>2375.0249999999996</v>
      </c>
      <c r="L311" s="213">
        <f t="shared" si="17"/>
        <v>0</v>
      </c>
      <c r="M311" s="213">
        <f t="shared" si="17"/>
        <v>1807.4</v>
      </c>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row>
    <row r="312" spans="1:60" ht="152.25" customHeight="1">
      <c r="A312" s="4"/>
      <c r="B312" s="7" t="s">
        <v>514</v>
      </c>
      <c r="C312" s="4" t="s">
        <v>4</v>
      </c>
      <c r="D312" s="2" t="s">
        <v>515</v>
      </c>
      <c r="E312" s="2" t="s">
        <v>774</v>
      </c>
      <c r="F312" s="2" t="s">
        <v>38</v>
      </c>
      <c r="G312" s="9" t="s">
        <v>927</v>
      </c>
      <c r="H312" s="2" t="s">
        <v>520</v>
      </c>
      <c r="I312" s="2" t="s">
        <v>926</v>
      </c>
      <c r="J312" s="213">
        <f>1041.7+3125-447.94375-1343.73125</f>
        <v>2375.0249999999996</v>
      </c>
      <c r="K312" s="213">
        <f>1041.7+3125-447.94375-1343.73125</f>
        <v>2375.0249999999996</v>
      </c>
      <c r="L312" s="213">
        <v>0</v>
      </c>
      <c r="M312" s="213">
        <f>1355.5+451.9</f>
        <v>1807.4</v>
      </c>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row>
    <row r="313" spans="1:60" ht="45" customHeight="1">
      <c r="A313" s="78" t="s">
        <v>175</v>
      </c>
      <c r="B313" s="79" t="s">
        <v>174</v>
      </c>
      <c r="C313" s="78"/>
      <c r="D313" s="80"/>
      <c r="E313" s="80"/>
      <c r="F313" s="78"/>
      <c r="G313" s="81"/>
      <c r="H313" s="78"/>
      <c r="I313" s="78"/>
      <c r="J313" s="212">
        <f aca="true" t="shared" si="18" ref="J313:M314">J314</f>
        <v>230.726</v>
      </c>
      <c r="K313" s="212">
        <f t="shared" si="18"/>
        <v>230.726</v>
      </c>
      <c r="L313" s="212">
        <f t="shared" si="18"/>
        <v>589</v>
      </c>
      <c r="M313" s="212">
        <f t="shared" si="18"/>
        <v>589</v>
      </c>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row>
    <row r="314" spans="1:60" ht="33.75" customHeight="1">
      <c r="A314" s="4"/>
      <c r="B314" s="12" t="s">
        <v>235</v>
      </c>
      <c r="C314" s="2"/>
      <c r="D314" s="2"/>
      <c r="E314" s="2" t="s">
        <v>62</v>
      </c>
      <c r="F314" s="2"/>
      <c r="G314" s="72"/>
      <c r="H314" s="72"/>
      <c r="I314" s="72"/>
      <c r="J314" s="213">
        <f t="shared" si="18"/>
        <v>230.726</v>
      </c>
      <c r="K314" s="213">
        <f t="shared" si="18"/>
        <v>230.726</v>
      </c>
      <c r="L314" s="213">
        <f t="shared" si="18"/>
        <v>589</v>
      </c>
      <c r="M314" s="213">
        <f t="shared" si="18"/>
        <v>589</v>
      </c>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row>
    <row r="315" spans="1:60" ht="18.75" customHeight="1">
      <c r="A315" s="4"/>
      <c r="B315" s="12" t="s">
        <v>238</v>
      </c>
      <c r="C315" s="2"/>
      <c r="D315" s="2"/>
      <c r="E315" s="2" t="s">
        <v>239</v>
      </c>
      <c r="F315" s="2"/>
      <c r="G315" s="72"/>
      <c r="H315" s="72"/>
      <c r="I315" s="72"/>
      <c r="J315" s="213">
        <f>J316+J317+J318</f>
        <v>230.726</v>
      </c>
      <c r="K315" s="213">
        <f>K316+K317+K318</f>
        <v>230.726</v>
      </c>
      <c r="L315" s="213">
        <f>L316+L317+L318</f>
        <v>589</v>
      </c>
      <c r="M315" s="213">
        <f>M316+M317+M318</f>
        <v>589</v>
      </c>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row>
    <row r="316" spans="1:60" ht="23.25" customHeight="1">
      <c r="A316" s="4"/>
      <c r="B316" s="24" t="s">
        <v>69</v>
      </c>
      <c r="C316" s="4" t="s">
        <v>494</v>
      </c>
      <c r="D316" s="2" t="s">
        <v>41</v>
      </c>
      <c r="E316" s="10" t="s">
        <v>441</v>
      </c>
      <c r="F316" s="2" t="s">
        <v>38</v>
      </c>
      <c r="G316" s="296" t="s">
        <v>744</v>
      </c>
      <c r="H316" s="290" t="s">
        <v>44</v>
      </c>
      <c r="I316" s="293" t="s">
        <v>445</v>
      </c>
      <c r="J316" s="213">
        <f>150-150</f>
        <v>0</v>
      </c>
      <c r="K316" s="213">
        <f>150-150</f>
        <v>0</v>
      </c>
      <c r="L316" s="213">
        <v>150</v>
      </c>
      <c r="M316" s="213">
        <v>150</v>
      </c>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row>
    <row r="317" spans="1:60" ht="25.5" customHeight="1">
      <c r="A317" s="107"/>
      <c r="B317" s="280" t="s">
        <v>100</v>
      </c>
      <c r="C317" s="4" t="s">
        <v>494</v>
      </c>
      <c r="D317" s="1" t="s">
        <v>41</v>
      </c>
      <c r="E317" s="1" t="s">
        <v>240</v>
      </c>
      <c r="F317" s="2" t="s">
        <v>38</v>
      </c>
      <c r="G317" s="317"/>
      <c r="H317" s="291"/>
      <c r="I317" s="295"/>
      <c r="J317" s="213">
        <f>439-77-160</f>
        <v>202</v>
      </c>
      <c r="K317" s="213">
        <f>439-77-160</f>
        <v>202</v>
      </c>
      <c r="L317" s="213">
        <v>439</v>
      </c>
      <c r="M317" s="213">
        <v>439</v>
      </c>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row>
    <row r="318" spans="1:60" ht="25.5" customHeight="1">
      <c r="A318" s="107"/>
      <c r="B318" s="312"/>
      <c r="C318" s="4" t="s">
        <v>427</v>
      </c>
      <c r="D318" s="1" t="s">
        <v>41</v>
      </c>
      <c r="E318" s="1" t="s">
        <v>240</v>
      </c>
      <c r="F318" s="2" t="s">
        <v>38</v>
      </c>
      <c r="G318" s="297"/>
      <c r="H318" s="292"/>
      <c r="I318" s="294"/>
      <c r="J318" s="213">
        <f>77-48.274</f>
        <v>28.726</v>
      </c>
      <c r="K318" s="213">
        <f>77-48.274</f>
        <v>28.726</v>
      </c>
      <c r="L318" s="213">
        <v>0</v>
      </c>
      <c r="M318" s="213">
        <v>0</v>
      </c>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row>
    <row r="319" spans="1:60" ht="30" customHeight="1">
      <c r="A319" s="78" t="s">
        <v>177</v>
      </c>
      <c r="B319" s="79" t="s">
        <v>176</v>
      </c>
      <c r="C319" s="78"/>
      <c r="D319" s="80"/>
      <c r="E319" s="80"/>
      <c r="F319" s="78"/>
      <c r="G319" s="81"/>
      <c r="H319" s="78"/>
      <c r="I319" s="78"/>
      <c r="J319" s="212">
        <f aca="true" t="shared" si="19" ref="J319:M320">J320</f>
        <v>120</v>
      </c>
      <c r="K319" s="212">
        <f t="shared" si="19"/>
        <v>120</v>
      </c>
      <c r="L319" s="212">
        <f t="shared" si="19"/>
        <v>280</v>
      </c>
      <c r="M319" s="212">
        <f t="shared" si="19"/>
        <v>280</v>
      </c>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row>
    <row r="320" spans="1:60" ht="30" customHeight="1">
      <c r="A320" s="2"/>
      <c r="B320" s="12" t="s">
        <v>235</v>
      </c>
      <c r="C320" s="2"/>
      <c r="D320" s="2"/>
      <c r="E320" s="2" t="s">
        <v>62</v>
      </c>
      <c r="F320" s="2"/>
      <c r="G320" s="27"/>
      <c r="H320" s="2"/>
      <c r="I320" s="2"/>
      <c r="J320" s="213">
        <f t="shared" si="19"/>
        <v>120</v>
      </c>
      <c r="K320" s="213">
        <f t="shared" si="19"/>
        <v>120</v>
      </c>
      <c r="L320" s="213">
        <f t="shared" si="19"/>
        <v>280</v>
      </c>
      <c r="M320" s="213">
        <f t="shared" si="19"/>
        <v>280</v>
      </c>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row>
    <row r="321" spans="1:60" ht="35.25" customHeight="1">
      <c r="A321" s="2"/>
      <c r="B321" s="12" t="s">
        <v>236</v>
      </c>
      <c r="C321" s="2"/>
      <c r="D321" s="2"/>
      <c r="E321" s="2" t="s">
        <v>237</v>
      </c>
      <c r="F321" s="2"/>
      <c r="G321" s="27"/>
      <c r="H321" s="2"/>
      <c r="I321" s="2"/>
      <c r="J321" s="213">
        <f>J322+J324+J323</f>
        <v>120</v>
      </c>
      <c r="K321" s="213">
        <f>K322+K324+K323</f>
        <v>120</v>
      </c>
      <c r="L321" s="213">
        <f>L322+L324</f>
        <v>280</v>
      </c>
      <c r="M321" s="213">
        <f>M322+M324</f>
        <v>280</v>
      </c>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row>
    <row r="322" spans="1:60" ht="21.75" customHeight="1">
      <c r="A322" s="1"/>
      <c r="B322" s="280" t="s">
        <v>47</v>
      </c>
      <c r="C322" s="4" t="s">
        <v>494</v>
      </c>
      <c r="D322" s="2" t="s">
        <v>8</v>
      </c>
      <c r="E322" s="2" t="s">
        <v>749</v>
      </c>
      <c r="F322" s="2" t="s">
        <v>38</v>
      </c>
      <c r="G322" s="283" t="s">
        <v>744</v>
      </c>
      <c r="H322" s="320" t="s">
        <v>44</v>
      </c>
      <c r="I322" s="293" t="s">
        <v>445</v>
      </c>
      <c r="J322" s="213">
        <f>280-40-160</f>
        <v>80</v>
      </c>
      <c r="K322" s="213">
        <f>280-40-160</f>
        <v>80</v>
      </c>
      <c r="L322" s="213">
        <v>230</v>
      </c>
      <c r="M322" s="213">
        <v>230</v>
      </c>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row>
    <row r="323" spans="1:60" ht="21.75" customHeight="1">
      <c r="A323" s="1"/>
      <c r="B323" s="312"/>
      <c r="C323" s="4" t="s">
        <v>427</v>
      </c>
      <c r="D323" s="2" t="s">
        <v>8</v>
      </c>
      <c r="E323" s="2" t="s">
        <v>749</v>
      </c>
      <c r="F323" s="2" t="s">
        <v>42</v>
      </c>
      <c r="G323" s="284"/>
      <c r="H323" s="321"/>
      <c r="I323" s="295"/>
      <c r="J323" s="213">
        <v>40</v>
      </c>
      <c r="K323" s="213">
        <v>40</v>
      </c>
      <c r="L323" s="213">
        <v>0</v>
      </c>
      <c r="M323" s="213">
        <v>0</v>
      </c>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row>
    <row r="324" spans="1:60" ht="33" customHeight="1">
      <c r="A324" s="4"/>
      <c r="B324" s="7" t="s">
        <v>48</v>
      </c>
      <c r="C324" s="4" t="s">
        <v>494</v>
      </c>
      <c r="D324" s="2" t="s">
        <v>8</v>
      </c>
      <c r="E324" s="2" t="s">
        <v>750</v>
      </c>
      <c r="F324" s="2" t="s">
        <v>38</v>
      </c>
      <c r="G324" s="300"/>
      <c r="H324" s="322"/>
      <c r="I324" s="294"/>
      <c r="J324" s="213">
        <v>0</v>
      </c>
      <c r="K324" s="213">
        <v>0</v>
      </c>
      <c r="L324" s="213">
        <v>50</v>
      </c>
      <c r="M324" s="213">
        <v>50</v>
      </c>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row>
    <row r="325" spans="1:60" ht="30" customHeight="1">
      <c r="A325" s="78" t="s">
        <v>181</v>
      </c>
      <c r="B325" s="79" t="s">
        <v>180</v>
      </c>
      <c r="C325" s="78"/>
      <c r="D325" s="80"/>
      <c r="E325" s="78"/>
      <c r="F325" s="78"/>
      <c r="G325" s="78"/>
      <c r="H325" s="78"/>
      <c r="I325" s="78"/>
      <c r="J325" s="212">
        <f>J326</f>
        <v>1201.07</v>
      </c>
      <c r="K325" s="212">
        <f>K326</f>
        <v>1201.07</v>
      </c>
      <c r="L325" s="212">
        <f>L326</f>
        <v>1564.8</v>
      </c>
      <c r="M325" s="212">
        <f>M326</f>
        <v>1564.8</v>
      </c>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row>
    <row r="326" spans="1:60" ht="30" customHeight="1">
      <c r="A326" s="4"/>
      <c r="B326" s="12" t="s">
        <v>249</v>
      </c>
      <c r="C326" s="2"/>
      <c r="D326" s="2"/>
      <c r="E326" s="2" t="s">
        <v>63</v>
      </c>
      <c r="F326" s="2"/>
      <c r="G326" s="47"/>
      <c r="H326" s="2"/>
      <c r="I326" s="47"/>
      <c r="J326" s="213">
        <f>J327+J334</f>
        <v>1201.07</v>
      </c>
      <c r="K326" s="213">
        <f>K327+K334</f>
        <v>1201.07</v>
      </c>
      <c r="L326" s="213">
        <f>L327+L334</f>
        <v>1564.8</v>
      </c>
      <c r="M326" s="213">
        <f>M327+M334</f>
        <v>1564.8</v>
      </c>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row>
    <row r="327" spans="2:61" s="12" customFormat="1" ht="30" customHeight="1">
      <c r="B327" s="12" t="s">
        <v>250</v>
      </c>
      <c r="D327" s="2"/>
      <c r="E327" s="2" t="s">
        <v>251</v>
      </c>
      <c r="J327" s="213">
        <f>J328+J330+J332+J333+J329+J331</f>
        <v>704.8</v>
      </c>
      <c r="K327" s="213">
        <f>K328+K330+K332+K333+K329+K331</f>
        <v>704.8</v>
      </c>
      <c r="L327" s="213">
        <f>L328+L330+L332+L333+L329</f>
        <v>704.8</v>
      </c>
      <c r="M327" s="213">
        <f>M328+M330+M332+M333+M329</f>
        <v>704.8</v>
      </c>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1"/>
    </row>
    <row r="328" spans="1:13" s="30" customFormat="1" ht="45.75" customHeight="1">
      <c r="A328" s="12"/>
      <c r="B328" s="12" t="s">
        <v>252</v>
      </c>
      <c r="C328" s="2" t="s">
        <v>427</v>
      </c>
      <c r="D328" s="2" t="s">
        <v>43</v>
      </c>
      <c r="E328" s="2" t="s">
        <v>253</v>
      </c>
      <c r="F328" s="2" t="s">
        <v>42</v>
      </c>
      <c r="G328" s="158" t="s">
        <v>411</v>
      </c>
      <c r="H328" s="159" t="s">
        <v>321</v>
      </c>
      <c r="I328" s="159" t="s">
        <v>304</v>
      </c>
      <c r="J328" s="277">
        <v>168</v>
      </c>
      <c r="K328" s="277">
        <v>168</v>
      </c>
      <c r="L328" s="277">
        <v>168</v>
      </c>
      <c r="M328" s="277">
        <v>168</v>
      </c>
    </row>
    <row r="329" spans="1:13" s="30" customFormat="1" ht="25.5" customHeight="1">
      <c r="A329" s="12"/>
      <c r="B329" s="298" t="s">
        <v>254</v>
      </c>
      <c r="C329" s="2" t="s">
        <v>427</v>
      </c>
      <c r="D329" s="2" t="s">
        <v>43</v>
      </c>
      <c r="E329" s="1" t="s">
        <v>255</v>
      </c>
      <c r="F329" s="2" t="s">
        <v>38</v>
      </c>
      <c r="G329" s="324" t="s">
        <v>411</v>
      </c>
      <c r="H329" s="290" t="s">
        <v>322</v>
      </c>
      <c r="I329" s="301" t="s">
        <v>304</v>
      </c>
      <c r="J329" s="277">
        <f>100-100</f>
        <v>0</v>
      </c>
      <c r="K329" s="277">
        <f>100-100</f>
        <v>0</v>
      </c>
      <c r="L329" s="277">
        <v>100</v>
      </c>
      <c r="M329" s="277">
        <v>100</v>
      </c>
    </row>
    <row r="330" spans="1:13" ht="25.5" customHeight="1">
      <c r="A330" s="2"/>
      <c r="B330" s="339"/>
      <c r="C330" s="2" t="s">
        <v>427</v>
      </c>
      <c r="D330" s="2" t="s">
        <v>43</v>
      </c>
      <c r="E330" s="1" t="s">
        <v>255</v>
      </c>
      <c r="F330" s="2" t="s">
        <v>42</v>
      </c>
      <c r="G330" s="325"/>
      <c r="H330" s="291"/>
      <c r="I330" s="313"/>
      <c r="J330" s="277">
        <f>251.5+100-30</f>
        <v>321.5</v>
      </c>
      <c r="K330" s="277">
        <f>251.5+100-30</f>
        <v>321.5</v>
      </c>
      <c r="L330" s="277">
        <f>251.5</f>
        <v>251.5</v>
      </c>
      <c r="M330" s="277">
        <f>251.5</f>
        <v>251.5</v>
      </c>
    </row>
    <row r="331" spans="1:13" ht="25.5" customHeight="1">
      <c r="A331" s="1"/>
      <c r="B331" s="299"/>
      <c r="C331" s="2" t="s">
        <v>427</v>
      </c>
      <c r="D331" s="2" t="s">
        <v>43</v>
      </c>
      <c r="E331" s="1" t="s">
        <v>255</v>
      </c>
      <c r="F331" s="2" t="s">
        <v>53</v>
      </c>
      <c r="G331" s="326"/>
      <c r="H331" s="292"/>
      <c r="I331" s="302"/>
      <c r="J331" s="277">
        <v>30</v>
      </c>
      <c r="K331" s="277">
        <v>30</v>
      </c>
      <c r="L331" s="277">
        <v>0</v>
      </c>
      <c r="M331" s="277">
        <v>0</v>
      </c>
    </row>
    <row r="332" spans="1:13" ht="26.25" customHeight="1">
      <c r="A332" s="290"/>
      <c r="B332" s="298" t="s">
        <v>256</v>
      </c>
      <c r="C332" s="2" t="s">
        <v>427</v>
      </c>
      <c r="D332" s="2" t="s">
        <v>43</v>
      </c>
      <c r="E332" s="2" t="s">
        <v>257</v>
      </c>
      <c r="F332" s="106" t="s">
        <v>38</v>
      </c>
      <c r="G332" s="324" t="s">
        <v>545</v>
      </c>
      <c r="H332" s="290" t="s">
        <v>323</v>
      </c>
      <c r="I332" s="301" t="s">
        <v>304</v>
      </c>
      <c r="J332" s="277">
        <f>120-120</f>
        <v>0</v>
      </c>
      <c r="K332" s="277">
        <f>120-120</f>
        <v>0</v>
      </c>
      <c r="L332" s="277">
        <v>120</v>
      </c>
      <c r="M332" s="277">
        <v>120</v>
      </c>
    </row>
    <row r="333" spans="1:13" ht="26.25" customHeight="1">
      <c r="A333" s="292"/>
      <c r="B333" s="299"/>
      <c r="C333" s="2" t="s">
        <v>427</v>
      </c>
      <c r="D333" s="2" t="s">
        <v>43</v>
      </c>
      <c r="E333" s="2" t="s">
        <v>257</v>
      </c>
      <c r="F333" s="106" t="s">
        <v>42</v>
      </c>
      <c r="G333" s="326"/>
      <c r="H333" s="292"/>
      <c r="I333" s="302"/>
      <c r="J333" s="277">
        <f>65.3+120</f>
        <v>185.3</v>
      </c>
      <c r="K333" s="277">
        <f>65.3+120</f>
        <v>185.3</v>
      </c>
      <c r="L333" s="277">
        <f>65.3</f>
        <v>65.3</v>
      </c>
      <c r="M333" s="277">
        <f>65.3</f>
        <v>65.3</v>
      </c>
    </row>
    <row r="334" spans="1:13" ht="45" customHeight="1">
      <c r="A334" s="2"/>
      <c r="B334" s="109" t="s">
        <v>258</v>
      </c>
      <c r="C334" s="2"/>
      <c r="D334" s="2"/>
      <c r="E334" s="2" t="s">
        <v>259</v>
      </c>
      <c r="F334" s="106"/>
      <c r="G334" s="124"/>
      <c r="H334" s="125"/>
      <c r="I334" s="125"/>
      <c r="J334" s="213">
        <f>J335+J336+J337</f>
        <v>496.27</v>
      </c>
      <c r="K334" s="213">
        <f>K335+K336+K337</f>
        <v>496.27</v>
      </c>
      <c r="L334" s="213">
        <f>L335+L336</f>
        <v>860</v>
      </c>
      <c r="M334" s="213">
        <f>M335+M336</f>
        <v>860</v>
      </c>
    </row>
    <row r="335" spans="1:13" ht="30">
      <c r="A335" s="2"/>
      <c r="B335" s="109" t="s">
        <v>260</v>
      </c>
      <c r="C335" s="2" t="s">
        <v>427</v>
      </c>
      <c r="D335" s="2" t="s">
        <v>43</v>
      </c>
      <c r="E335" s="2" t="s">
        <v>261</v>
      </c>
      <c r="F335" s="106" t="s">
        <v>42</v>
      </c>
      <c r="G335" s="324" t="s">
        <v>411</v>
      </c>
      <c r="H335" s="301" t="s">
        <v>928</v>
      </c>
      <c r="I335" s="301" t="s">
        <v>324</v>
      </c>
      <c r="J335" s="277">
        <f>738-363.73</f>
        <v>374.27</v>
      </c>
      <c r="K335" s="277">
        <f>738-363.73</f>
        <v>374.27</v>
      </c>
      <c r="L335" s="277">
        <v>738</v>
      </c>
      <c r="M335" s="277">
        <v>738</v>
      </c>
    </row>
    <row r="336" spans="1:13" ht="30">
      <c r="A336" s="2"/>
      <c r="B336" s="109" t="s">
        <v>262</v>
      </c>
      <c r="C336" s="2" t="s">
        <v>427</v>
      </c>
      <c r="D336" s="2" t="s">
        <v>43</v>
      </c>
      <c r="E336" s="2" t="s">
        <v>263</v>
      </c>
      <c r="F336" s="2" t="s">
        <v>42</v>
      </c>
      <c r="G336" s="325"/>
      <c r="H336" s="313"/>
      <c r="I336" s="313"/>
      <c r="J336" s="277">
        <v>122</v>
      </c>
      <c r="K336" s="277">
        <v>122</v>
      </c>
      <c r="L336" s="277">
        <v>122</v>
      </c>
      <c r="M336" s="277">
        <v>122</v>
      </c>
    </row>
    <row r="337" spans="1:13" ht="30">
      <c r="A337" s="2"/>
      <c r="B337" s="109" t="s">
        <v>262</v>
      </c>
      <c r="C337" s="2" t="s">
        <v>427</v>
      </c>
      <c r="D337" s="2" t="s">
        <v>43</v>
      </c>
      <c r="E337" s="2" t="s">
        <v>263</v>
      </c>
      <c r="F337" s="2" t="s">
        <v>53</v>
      </c>
      <c r="G337" s="285"/>
      <c r="H337" s="302"/>
      <c r="I337" s="285"/>
      <c r="J337" s="277">
        <v>0</v>
      </c>
      <c r="K337" s="277">
        <v>0</v>
      </c>
      <c r="L337" s="277">
        <v>0</v>
      </c>
      <c r="M337" s="277">
        <v>0</v>
      </c>
    </row>
    <row r="338" spans="1:13" ht="45" customHeight="1">
      <c r="A338" s="78" t="s">
        <v>327</v>
      </c>
      <c r="B338" s="132" t="s">
        <v>328</v>
      </c>
      <c r="C338" s="78"/>
      <c r="D338" s="78"/>
      <c r="E338" s="78"/>
      <c r="F338" s="78"/>
      <c r="G338" s="133"/>
      <c r="H338" s="78"/>
      <c r="I338" s="134"/>
      <c r="J338" s="212">
        <f aca="true" t="shared" si="20" ref="J338:M339">J339</f>
        <v>256.61920000000003</v>
      </c>
      <c r="K338" s="212">
        <f t="shared" si="20"/>
        <v>256.61920000000003</v>
      </c>
      <c r="L338" s="212">
        <f t="shared" si="20"/>
        <v>557.6</v>
      </c>
      <c r="M338" s="212">
        <f t="shared" si="20"/>
        <v>557.6</v>
      </c>
    </row>
    <row r="339" spans="1:13" ht="45" customHeight="1">
      <c r="A339" s="2"/>
      <c r="B339" s="12" t="s">
        <v>126</v>
      </c>
      <c r="C339" s="57"/>
      <c r="D339" s="2"/>
      <c r="E339" s="2" t="s">
        <v>54</v>
      </c>
      <c r="F339" s="2"/>
      <c r="G339" s="131"/>
      <c r="H339" s="2"/>
      <c r="I339" s="105"/>
      <c r="J339" s="213">
        <f>J340</f>
        <v>256.61920000000003</v>
      </c>
      <c r="K339" s="213">
        <f t="shared" si="20"/>
        <v>256.61920000000003</v>
      </c>
      <c r="L339" s="213">
        <f t="shared" si="20"/>
        <v>557.6</v>
      </c>
      <c r="M339" s="213">
        <f t="shared" si="20"/>
        <v>557.6</v>
      </c>
    </row>
    <row r="340" spans="1:13" ht="136.5" customHeight="1">
      <c r="A340" s="2"/>
      <c r="B340" s="7" t="s">
        <v>333</v>
      </c>
      <c r="C340" s="2" t="s">
        <v>425</v>
      </c>
      <c r="D340" s="2" t="s">
        <v>103</v>
      </c>
      <c r="E340" s="2" t="s">
        <v>475</v>
      </c>
      <c r="F340" s="2" t="s">
        <v>53</v>
      </c>
      <c r="G340" s="131" t="s">
        <v>994</v>
      </c>
      <c r="H340" s="2" t="s">
        <v>587</v>
      </c>
      <c r="I340" s="105" t="s">
        <v>929</v>
      </c>
      <c r="J340" s="213">
        <f>163.6+194-100.9808</f>
        <v>256.61920000000003</v>
      </c>
      <c r="K340" s="213">
        <f>163.6+194-100.9808</f>
        <v>256.61920000000003</v>
      </c>
      <c r="L340" s="213">
        <f>363.6+194</f>
        <v>557.6</v>
      </c>
      <c r="M340" s="213">
        <f>363.6+194</f>
        <v>557.6</v>
      </c>
    </row>
    <row r="341" spans="1:60" s="22" customFormat="1" ht="99.75" customHeight="1">
      <c r="A341" s="37" t="s">
        <v>140</v>
      </c>
      <c r="B341" s="38" t="s">
        <v>142</v>
      </c>
      <c r="C341" s="37"/>
      <c r="D341" s="37"/>
      <c r="E341" s="37"/>
      <c r="F341" s="39"/>
      <c r="G341" s="40"/>
      <c r="H341" s="41"/>
      <c r="I341" s="41"/>
      <c r="J341" s="211">
        <f>J342+J387+J413+J432+J428+J410</f>
        <v>134458.39654000002</v>
      </c>
      <c r="K341" s="211">
        <f>K342+K387+K413+K432+K428+K410</f>
        <v>128793.81766</v>
      </c>
      <c r="L341" s="211">
        <f>L342+L387+L413+L432+L428+L410</f>
        <v>95320.50300000001</v>
      </c>
      <c r="M341" s="211">
        <f>M342+M387+M413+M432+M428+M410</f>
        <v>114260.95687000001</v>
      </c>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row>
    <row r="342" spans="1:13" ht="60" customHeight="1">
      <c r="A342" s="78" t="s">
        <v>133</v>
      </c>
      <c r="B342" s="88" t="s">
        <v>134</v>
      </c>
      <c r="C342" s="78"/>
      <c r="D342" s="78"/>
      <c r="E342" s="80"/>
      <c r="F342" s="78"/>
      <c r="G342" s="84"/>
      <c r="H342" s="89"/>
      <c r="I342" s="89"/>
      <c r="J342" s="212">
        <f>J343+J381+J372+J376</f>
        <v>17736.54382</v>
      </c>
      <c r="K342" s="212">
        <f>K343+K381+K372+K376</f>
        <v>16329.321060000002</v>
      </c>
      <c r="L342" s="212">
        <f>L343+L381+L372+L376</f>
        <v>8973.7</v>
      </c>
      <c r="M342" s="212">
        <f>M343+M381+M372+M376</f>
        <v>20795.37</v>
      </c>
    </row>
    <row r="343" spans="1:60" ht="34.5" customHeight="1">
      <c r="A343" s="2"/>
      <c r="B343" s="6" t="s">
        <v>113</v>
      </c>
      <c r="C343" s="2"/>
      <c r="D343" s="2"/>
      <c r="E343" s="2" t="s">
        <v>64</v>
      </c>
      <c r="F343" s="2"/>
      <c r="G343" s="27"/>
      <c r="H343" s="2"/>
      <c r="I343" s="2"/>
      <c r="J343" s="213">
        <f>J344+J345+J348+J352+J346+J347</f>
        <v>13047.8616</v>
      </c>
      <c r="K343" s="213">
        <f>K344+K345+K348+K352+K346+K347</f>
        <v>11640.638840000001</v>
      </c>
      <c r="L343" s="213">
        <f>L344+L345+L348+L352</f>
        <v>7790.7</v>
      </c>
      <c r="M343" s="213">
        <f>M344+M345+M348+M352</f>
        <v>7703.7</v>
      </c>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row>
    <row r="344" spans="1:60" ht="40.5" customHeight="1">
      <c r="A344" s="2"/>
      <c r="B344" s="389" t="s">
        <v>93</v>
      </c>
      <c r="C344" s="2" t="s">
        <v>425</v>
      </c>
      <c r="D344" s="2" t="s">
        <v>9</v>
      </c>
      <c r="E344" s="2" t="s">
        <v>382</v>
      </c>
      <c r="F344" s="2" t="s">
        <v>38</v>
      </c>
      <c r="G344" s="314" t="s">
        <v>702</v>
      </c>
      <c r="H344" s="301" t="s">
        <v>1017</v>
      </c>
      <c r="I344" s="290" t="s">
        <v>574</v>
      </c>
      <c r="J344" s="213">
        <f>1800-600-585-7+300</f>
        <v>908</v>
      </c>
      <c r="K344" s="213">
        <f>1800-600-585-7+300</f>
        <v>908</v>
      </c>
      <c r="L344" s="213">
        <v>1800</v>
      </c>
      <c r="M344" s="213">
        <v>1800</v>
      </c>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row>
    <row r="345" spans="1:60" ht="25.5" customHeight="1">
      <c r="A345" s="2"/>
      <c r="B345" s="387"/>
      <c r="C345" s="2" t="s">
        <v>385</v>
      </c>
      <c r="D345" s="2" t="s">
        <v>9</v>
      </c>
      <c r="E345" s="2" t="s">
        <v>382</v>
      </c>
      <c r="F345" s="2" t="s">
        <v>38</v>
      </c>
      <c r="G345" s="327"/>
      <c r="H345" s="327"/>
      <c r="I345" s="327"/>
      <c r="J345" s="213">
        <v>600</v>
      </c>
      <c r="K345" s="213">
        <v>600</v>
      </c>
      <c r="L345" s="213">
        <v>600</v>
      </c>
      <c r="M345" s="213">
        <v>600</v>
      </c>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row>
    <row r="346" spans="1:60" ht="25.5" customHeight="1">
      <c r="A346" s="2"/>
      <c r="B346" s="390"/>
      <c r="C346" s="2" t="s">
        <v>424</v>
      </c>
      <c r="D346" s="2" t="s">
        <v>9</v>
      </c>
      <c r="E346" s="2" t="s">
        <v>382</v>
      </c>
      <c r="F346" s="2" t="s">
        <v>38</v>
      </c>
      <c r="G346" s="329"/>
      <c r="H346" s="329"/>
      <c r="I346" s="329"/>
      <c r="J346" s="213">
        <v>600</v>
      </c>
      <c r="K346" s="213">
        <v>600</v>
      </c>
      <c r="L346" s="213">
        <v>0</v>
      </c>
      <c r="M346" s="213">
        <v>0</v>
      </c>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row>
    <row r="347" spans="1:60" ht="26.25" customHeight="1">
      <c r="A347" s="2"/>
      <c r="B347" s="282"/>
      <c r="C347" s="2" t="s">
        <v>427</v>
      </c>
      <c r="D347" s="2" t="s">
        <v>9</v>
      </c>
      <c r="E347" s="2" t="s">
        <v>382</v>
      </c>
      <c r="F347" s="2" t="s">
        <v>38</v>
      </c>
      <c r="G347" s="285"/>
      <c r="H347" s="285"/>
      <c r="I347" s="285"/>
      <c r="J347" s="277">
        <v>585</v>
      </c>
      <c r="K347" s="277">
        <v>585</v>
      </c>
      <c r="L347" s="277">
        <v>0</v>
      </c>
      <c r="M347" s="277">
        <v>0</v>
      </c>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row>
    <row r="348" spans="1:60" ht="30" customHeight="1">
      <c r="A348" s="2"/>
      <c r="B348" s="13" t="s">
        <v>374</v>
      </c>
      <c r="C348" s="2"/>
      <c r="D348" s="2"/>
      <c r="E348" s="2" t="s">
        <v>375</v>
      </c>
      <c r="F348" s="2"/>
      <c r="G348" s="27"/>
      <c r="H348" s="2"/>
      <c r="I348" s="2"/>
      <c r="J348" s="213">
        <f>J349+J350+J351</f>
        <v>69.5</v>
      </c>
      <c r="K348" s="213">
        <f>K349+K350+K351</f>
        <v>69.5</v>
      </c>
      <c r="L348" s="213">
        <f>L349</f>
        <v>80</v>
      </c>
      <c r="M348" s="213">
        <f>M349</f>
        <v>80</v>
      </c>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row>
    <row r="349" spans="1:60" ht="47.25" customHeight="1">
      <c r="A349" s="2"/>
      <c r="B349" s="145" t="s">
        <v>372</v>
      </c>
      <c r="C349" s="2" t="s">
        <v>425</v>
      </c>
      <c r="D349" s="2" t="s">
        <v>329</v>
      </c>
      <c r="E349" s="2" t="s">
        <v>373</v>
      </c>
      <c r="F349" s="2" t="s">
        <v>38</v>
      </c>
      <c r="G349" s="283" t="s">
        <v>412</v>
      </c>
      <c r="H349" s="286" t="s">
        <v>92</v>
      </c>
      <c r="I349" s="288" t="s">
        <v>186</v>
      </c>
      <c r="J349" s="213">
        <f>80-40.8</f>
        <v>39.2</v>
      </c>
      <c r="K349" s="213">
        <f>80-40.8</f>
        <v>39.2</v>
      </c>
      <c r="L349" s="213">
        <v>80</v>
      </c>
      <c r="M349" s="213">
        <v>80</v>
      </c>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row>
    <row r="350" spans="1:60" ht="47.25" customHeight="1">
      <c r="A350" s="2"/>
      <c r="B350" s="145" t="s">
        <v>372</v>
      </c>
      <c r="C350" s="2" t="s">
        <v>424</v>
      </c>
      <c r="D350" s="2" t="s">
        <v>332</v>
      </c>
      <c r="E350" s="2" t="s">
        <v>373</v>
      </c>
      <c r="F350" s="2" t="s">
        <v>38</v>
      </c>
      <c r="G350" s="329"/>
      <c r="H350" s="329"/>
      <c r="I350" s="329"/>
      <c r="J350" s="213">
        <v>4.8</v>
      </c>
      <c r="K350" s="213">
        <v>4.8</v>
      </c>
      <c r="L350" s="213">
        <v>0</v>
      </c>
      <c r="M350" s="213">
        <v>0</v>
      </c>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row>
    <row r="351" spans="1:60" ht="47.25" customHeight="1">
      <c r="A351" s="2"/>
      <c r="B351" s="145" t="s">
        <v>372</v>
      </c>
      <c r="C351" s="2" t="s">
        <v>391</v>
      </c>
      <c r="D351" s="2" t="s">
        <v>332</v>
      </c>
      <c r="E351" s="2" t="s">
        <v>373</v>
      </c>
      <c r="F351" s="2" t="s">
        <v>38</v>
      </c>
      <c r="G351" s="285"/>
      <c r="H351" s="285"/>
      <c r="I351" s="285"/>
      <c r="J351" s="213">
        <v>25.5</v>
      </c>
      <c r="K351" s="213">
        <v>25.5</v>
      </c>
      <c r="L351" s="213">
        <v>0</v>
      </c>
      <c r="M351" s="213">
        <v>0</v>
      </c>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row>
    <row r="352" spans="1:60" ht="30" customHeight="1">
      <c r="A352" s="2"/>
      <c r="B352" s="7" t="s">
        <v>295</v>
      </c>
      <c r="C352" s="2"/>
      <c r="D352" s="2"/>
      <c r="E352" s="2" t="s">
        <v>296</v>
      </c>
      <c r="F352" s="2"/>
      <c r="G352" s="27"/>
      <c r="H352" s="2"/>
      <c r="I352" s="2"/>
      <c r="J352" s="213">
        <f>SUM(J353:J371)</f>
        <v>10285.3616</v>
      </c>
      <c r="K352" s="213">
        <f>SUM(K353:K371)</f>
        <v>8878.138840000001</v>
      </c>
      <c r="L352" s="213">
        <f>SUM(L353:L371)</f>
        <v>5310.7</v>
      </c>
      <c r="M352" s="213">
        <f>SUM(M353:M371)</f>
        <v>5223.7</v>
      </c>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row>
    <row r="353" spans="1:60" ht="21.75" customHeight="1">
      <c r="A353" s="2"/>
      <c r="B353" s="280" t="s">
        <v>297</v>
      </c>
      <c r="C353" s="2" t="s">
        <v>385</v>
      </c>
      <c r="D353" s="2" t="s">
        <v>386</v>
      </c>
      <c r="E353" s="290" t="s">
        <v>426</v>
      </c>
      <c r="F353" s="2" t="s">
        <v>38</v>
      </c>
      <c r="G353" s="283" t="s">
        <v>418</v>
      </c>
      <c r="H353" s="286" t="s">
        <v>331</v>
      </c>
      <c r="I353" s="288" t="s">
        <v>419</v>
      </c>
      <c r="J353" s="213">
        <v>253.193</v>
      </c>
      <c r="K353" s="213">
        <f>227.9-47.98</f>
        <v>179.92000000000002</v>
      </c>
      <c r="L353" s="213">
        <v>0</v>
      </c>
      <c r="M353" s="213">
        <v>0</v>
      </c>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row>
    <row r="354" spans="1:60" ht="29.25" customHeight="1">
      <c r="A354" s="2"/>
      <c r="B354" s="281"/>
      <c r="C354" s="2" t="s">
        <v>425</v>
      </c>
      <c r="D354" s="2" t="s">
        <v>329</v>
      </c>
      <c r="E354" s="291"/>
      <c r="F354" s="2" t="s">
        <v>38</v>
      </c>
      <c r="G354" s="284"/>
      <c r="H354" s="287"/>
      <c r="I354" s="289"/>
      <c r="J354" s="213">
        <v>1502.286</v>
      </c>
      <c r="K354" s="218">
        <f>1251+35.9+7+49.6-11.04866-151.14666-49.87941-62.55134</f>
        <v>1068.8739300000002</v>
      </c>
      <c r="L354" s="213">
        <v>301.2</v>
      </c>
      <c r="M354" s="213">
        <v>301.2</v>
      </c>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row>
    <row r="355" spans="1:60" ht="34.5" customHeight="1">
      <c r="A355" s="2"/>
      <c r="B355" s="281"/>
      <c r="C355" s="2" t="s">
        <v>494</v>
      </c>
      <c r="D355" s="2" t="s">
        <v>9</v>
      </c>
      <c r="E355" s="291"/>
      <c r="F355" s="2" t="s">
        <v>38</v>
      </c>
      <c r="G355" s="284"/>
      <c r="H355" s="287"/>
      <c r="I355" s="289"/>
      <c r="J355" s="213">
        <v>755.987</v>
      </c>
      <c r="K355" s="213">
        <v>413.2</v>
      </c>
      <c r="L355" s="213">
        <v>0</v>
      </c>
      <c r="M355" s="213">
        <v>0</v>
      </c>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row>
    <row r="356" spans="1:60" ht="33" customHeight="1">
      <c r="A356" s="2"/>
      <c r="B356" s="281"/>
      <c r="C356" s="2" t="s">
        <v>494</v>
      </c>
      <c r="D356" s="2" t="s">
        <v>9</v>
      </c>
      <c r="E356" s="291"/>
      <c r="F356" s="2" t="s">
        <v>787</v>
      </c>
      <c r="G356" s="284"/>
      <c r="H356" s="287"/>
      <c r="I356" s="289"/>
      <c r="J356" s="213">
        <f>0.5-0.5</f>
        <v>0</v>
      </c>
      <c r="K356" s="213">
        <f>0.5-0.5</f>
        <v>0</v>
      </c>
      <c r="L356" s="213">
        <v>0</v>
      </c>
      <c r="M356" s="213">
        <v>0</v>
      </c>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row>
    <row r="357" spans="1:60" ht="33" customHeight="1">
      <c r="A357" s="2"/>
      <c r="B357" s="281"/>
      <c r="C357" s="2" t="s">
        <v>494</v>
      </c>
      <c r="D357" s="2" t="s">
        <v>9</v>
      </c>
      <c r="E357" s="291"/>
      <c r="F357" s="2" t="s">
        <v>39</v>
      </c>
      <c r="G357" s="284"/>
      <c r="H357" s="287"/>
      <c r="I357" s="289"/>
      <c r="J357" s="213">
        <v>0.5</v>
      </c>
      <c r="K357" s="213">
        <v>0.5</v>
      </c>
      <c r="L357" s="213">
        <v>0</v>
      </c>
      <c r="M357" s="213">
        <v>0</v>
      </c>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row>
    <row r="358" spans="1:60" ht="24" customHeight="1">
      <c r="A358" s="2"/>
      <c r="B358" s="281"/>
      <c r="C358" s="2" t="s">
        <v>4</v>
      </c>
      <c r="D358" s="2" t="s">
        <v>9</v>
      </c>
      <c r="E358" s="291"/>
      <c r="F358" s="2" t="s">
        <v>38</v>
      </c>
      <c r="G358" s="284"/>
      <c r="H358" s="323"/>
      <c r="I358" s="311"/>
      <c r="J358" s="213">
        <v>458.174</v>
      </c>
      <c r="K358" s="213">
        <f>412.4-0.00397</f>
        <v>412.39603</v>
      </c>
      <c r="L358" s="213">
        <v>70</v>
      </c>
      <c r="M358" s="213">
        <v>70</v>
      </c>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row>
    <row r="359" spans="1:60" ht="24" customHeight="1">
      <c r="A359" s="2"/>
      <c r="B359" s="281"/>
      <c r="C359" s="2" t="s">
        <v>4</v>
      </c>
      <c r="D359" s="2" t="s">
        <v>9</v>
      </c>
      <c r="E359" s="291"/>
      <c r="F359" s="105" t="s">
        <v>39</v>
      </c>
      <c r="G359" s="284"/>
      <c r="H359" s="267"/>
      <c r="I359" s="143"/>
      <c r="J359" s="213">
        <v>0.00397</v>
      </c>
      <c r="K359" s="213">
        <v>0.00397</v>
      </c>
      <c r="L359" s="213">
        <v>0</v>
      </c>
      <c r="M359" s="213">
        <v>0</v>
      </c>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row>
    <row r="360" spans="1:60" ht="20.25" customHeight="1">
      <c r="A360" s="2"/>
      <c r="B360" s="360"/>
      <c r="C360" s="2" t="s">
        <v>427</v>
      </c>
      <c r="D360" s="2" t="s">
        <v>329</v>
      </c>
      <c r="E360" s="292"/>
      <c r="F360" s="105" t="s">
        <v>38</v>
      </c>
      <c r="G360" s="300"/>
      <c r="H360" s="155"/>
      <c r="I360" s="143"/>
      <c r="J360" s="277">
        <f>428.2+124.4+49.36556+25.6</f>
        <v>627.56556</v>
      </c>
      <c r="K360" s="277">
        <f>428.2+124.4+49.36556+25.6</f>
        <v>627.56556</v>
      </c>
      <c r="L360" s="277">
        <v>87</v>
      </c>
      <c r="M360" s="277">
        <v>0</v>
      </c>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row>
    <row r="361" spans="1:60" ht="33.75" customHeight="1">
      <c r="A361" s="2"/>
      <c r="B361" s="280" t="s">
        <v>376</v>
      </c>
      <c r="C361" s="2" t="s">
        <v>425</v>
      </c>
      <c r="D361" s="2" t="s">
        <v>329</v>
      </c>
      <c r="E361" s="2" t="s">
        <v>377</v>
      </c>
      <c r="F361" s="2" t="s">
        <v>38</v>
      </c>
      <c r="G361" s="283" t="s">
        <v>418</v>
      </c>
      <c r="H361" s="286" t="s">
        <v>331</v>
      </c>
      <c r="I361" s="288" t="s">
        <v>419</v>
      </c>
      <c r="J361" s="213">
        <f>3307.9-600-3.63797</f>
        <v>2704.26203</v>
      </c>
      <c r="K361" s="213">
        <f>3307.9-600-3.63797</f>
        <v>2704.26203</v>
      </c>
      <c r="L361" s="213">
        <v>3307.9</v>
      </c>
      <c r="M361" s="213">
        <v>3307.9</v>
      </c>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row>
    <row r="362" spans="1:60" ht="29.25" customHeight="1">
      <c r="A362" s="2"/>
      <c r="B362" s="281"/>
      <c r="C362" s="2" t="s">
        <v>425</v>
      </c>
      <c r="D362" s="2" t="s">
        <v>9</v>
      </c>
      <c r="E362" s="2" t="s">
        <v>377</v>
      </c>
      <c r="F362" s="2" t="s">
        <v>38</v>
      </c>
      <c r="G362" s="284"/>
      <c r="H362" s="287"/>
      <c r="I362" s="289"/>
      <c r="J362" s="213">
        <f>34.656+62.175+50+4.82268+124.764</f>
        <v>276.41767999999996</v>
      </c>
      <c r="K362" s="213">
        <f>31.2+62.175+50+4.82268+124.764-103.375-4.82268-0.12604</f>
        <v>164.63796000000002</v>
      </c>
      <c r="L362" s="213">
        <v>34.6</v>
      </c>
      <c r="M362" s="213">
        <v>34.6</v>
      </c>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row>
    <row r="363" spans="1:60" ht="29.25" customHeight="1">
      <c r="A363" s="2"/>
      <c r="B363" s="281"/>
      <c r="C363" s="2" t="s">
        <v>427</v>
      </c>
      <c r="D363" s="2" t="s">
        <v>329</v>
      </c>
      <c r="E363" s="2" t="s">
        <v>377</v>
      </c>
      <c r="F363" s="2" t="s">
        <v>38</v>
      </c>
      <c r="G363" s="284"/>
      <c r="H363" s="287"/>
      <c r="I363" s="289"/>
      <c r="J363" s="277">
        <f>600</f>
        <v>600</v>
      </c>
      <c r="K363" s="277">
        <f>600</f>
        <v>600</v>
      </c>
      <c r="L363" s="277">
        <v>0</v>
      </c>
      <c r="M363" s="277">
        <v>0</v>
      </c>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row>
    <row r="364" spans="1:60" ht="29.25" customHeight="1">
      <c r="A364" s="2"/>
      <c r="B364" s="360"/>
      <c r="C364" s="2" t="s">
        <v>425</v>
      </c>
      <c r="D364" s="2" t="s">
        <v>329</v>
      </c>
      <c r="E364" s="2" t="s">
        <v>377</v>
      </c>
      <c r="F364" s="2" t="s">
        <v>39</v>
      </c>
      <c r="G364" s="328"/>
      <c r="H364" s="328"/>
      <c r="I364" s="328"/>
      <c r="J364" s="213">
        <v>73</v>
      </c>
      <c r="K364" s="213">
        <v>73</v>
      </c>
      <c r="L364" s="213">
        <v>73</v>
      </c>
      <c r="M364" s="213">
        <v>73</v>
      </c>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row>
    <row r="365" spans="1:60" ht="49.5" customHeight="1">
      <c r="A365" s="2"/>
      <c r="B365" s="7" t="s">
        <v>642</v>
      </c>
      <c r="C365" s="2" t="s">
        <v>425</v>
      </c>
      <c r="D365" s="2" t="s">
        <v>329</v>
      </c>
      <c r="E365" s="2" t="s">
        <v>378</v>
      </c>
      <c r="F365" s="2" t="s">
        <v>38</v>
      </c>
      <c r="G365" s="283" t="s">
        <v>412</v>
      </c>
      <c r="H365" s="286" t="s">
        <v>383</v>
      </c>
      <c r="I365" s="288" t="s">
        <v>186</v>
      </c>
      <c r="J365" s="213">
        <f>680-21.3526-62.175-26.82268-28.89232</f>
        <v>540.7574</v>
      </c>
      <c r="K365" s="213">
        <f>680-21.3526-62.175-26.82268-28.89232</f>
        <v>540.7574</v>
      </c>
      <c r="L365" s="213">
        <v>680</v>
      </c>
      <c r="M365" s="213">
        <v>680</v>
      </c>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row>
    <row r="366" spans="1:60" ht="36" customHeight="1">
      <c r="A366" s="2"/>
      <c r="B366" s="330" t="s">
        <v>379</v>
      </c>
      <c r="C366" s="2" t="s">
        <v>425</v>
      </c>
      <c r="D366" s="2" t="s">
        <v>329</v>
      </c>
      <c r="E366" s="2" t="s">
        <v>380</v>
      </c>
      <c r="F366" s="2" t="s">
        <v>38</v>
      </c>
      <c r="G366" s="284"/>
      <c r="H366" s="287"/>
      <c r="I366" s="289"/>
      <c r="J366" s="213">
        <f>487-367+38.2-11.89664+22+7.9116</f>
        <v>176.21496</v>
      </c>
      <c r="K366" s="213">
        <f>487-367+38.2-11.89664+22+7.9116</f>
        <v>176.21496</v>
      </c>
      <c r="L366" s="213">
        <v>487</v>
      </c>
      <c r="M366" s="213">
        <v>487</v>
      </c>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row>
    <row r="367" spans="1:60" ht="27.75" customHeight="1">
      <c r="A367" s="2"/>
      <c r="B367" s="308"/>
      <c r="C367" s="2" t="s">
        <v>424</v>
      </c>
      <c r="D367" s="2" t="s">
        <v>332</v>
      </c>
      <c r="E367" s="2" t="s">
        <v>380</v>
      </c>
      <c r="F367" s="2" t="s">
        <v>38</v>
      </c>
      <c r="G367" s="285"/>
      <c r="H367" s="285"/>
      <c r="I367" s="285"/>
      <c r="J367" s="213">
        <v>367</v>
      </c>
      <c r="K367" s="213">
        <f>367-38.2+33.348</f>
        <v>362.148</v>
      </c>
      <c r="L367" s="213">
        <v>0</v>
      </c>
      <c r="M367" s="213">
        <v>0</v>
      </c>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row>
    <row r="368" spans="1:60" ht="30" customHeight="1">
      <c r="A368" s="2"/>
      <c r="B368" s="330" t="s">
        <v>381</v>
      </c>
      <c r="C368" s="2" t="s">
        <v>425</v>
      </c>
      <c r="D368" s="2" t="s">
        <v>9</v>
      </c>
      <c r="E368" s="2" t="s">
        <v>125</v>
      </c>
      <c r="F368" s="2" t="s">
        <v>38</v>
      </c>
      <c r="G368" s="296" t="s">
        <v>531</v>
      </c>
      <c r="H368" s="288" t="s">
        <v>92</v>
      </c>
      <c r="I368" s="288" t="s">
        <v>572</v>
      </c>
      <c r="J368" s="213">
        <v>1030</v>
      </c>
      <c r="K368" s="213">
        <f>1000-1.341</f>
        <v>998.659</v>
      </c>
      <c r="L368" s="213">
        <v>0</v>
      </c>
      <c r="M368" s="213">
        <v>0</v>
      </c>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row>
    <row r="369" spans="1:60" ht="30" customHeight="1">
      <c r="A369" s="2"/>
      <c r="B369" s="350"/>
      <c r="C369" s="2" t="s">
        <v>425</v>
      </c>
      <c r="D369" s="2" t="s">
        <v>9</v>
      </c>
      <c r="E369" s="2" t="s">
        <v>125</v>
      </c>
      <c r="F369" s="2" t="s">
        <v>39</v>
      </c>
      <c r="G369" s="327"/>
      <c r="H369" s="327"/>
      <c r="I369" s="327"/>
      <c r="J369" s="213">
        <v>270</v>
      </c>
      <c r="K369" s="213">
        <v>270</v>
      </c>
      <c r="L369" s="213">
        <v>270</v>
      </c>
      <c r="M369" s="213">
        <v>270</v>
      </c>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row>
    <row r="370" spans="1:60" ht="21" customHeight="1">
      <c r="A370" s="2"/>
      <c r="B370" s="350"/>
      <c r="C370" s="2" t="s">
        <v>385</v>
      </c>
      <c r="D370" s="2" t="s">
        <v>9</v>
      </c>
      <c r="E370" s="2" t="s">
        <v>125</v>
      </c>
      <c r="F370" s="2" t="s">
        <v>38</v>
      </c>
      <c r="G370" s="327"/>
      <c r="H370" s="327"/>
      <c r="I370" s="327"/>
      <c r="J370" s="213">
        <v>500</v>
      </c>
      <c r="K370" s="213">
        <v>250</v>
      </c>
      <c r="L370" s="213">
        <v>0</v>
      </c>
      <c r="M370" s="213">
        <v>0</v>
      </c>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row>
    <row r="371" spans="1:60" ht="21" customHeight="1">
      <c r="A371" s="2"/>
      <c r="B371" s="338"/>
      <c r="C371" s="2" t="s">
        <v>391</v>
      </c>
      <c r="D371" s="2" t="s">
        <v>9</v>
      </c>
      <c r="E371" s="2" t="s">
        <v>125</v>
      </c>
      <c r="F371" s="2" t="s">
        <v>38</v>
      </c>
      <c r="G371" s="328"/>
      <c r="H371" s="328"/>
      <c r="I371" s="328"/>
      <c r="J371" s="213">
        <v>150</v>
      </c>
      <c r="K371" s="213">
        <f>75-39</f>
        <v>36</v>
      </c>
      <c r="L371" s="213">
        <v>0</v>
      </c>
      <c r="M371" s="213">
        <v>0</v>
      </c>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row>
    <row r="372" spans="1:60" ht="45" customHeight="1">
      <c r="A372" s="2"/>
      <c r="B372" s="148" t="s">
        <v>487</v>
      </c>
      <c r="C372" s="2"/>
      <c r="D372" s="2"/>
      <c r="E372" s="2" t="s">
        <v>486</v>
      </c>
      <c r="F372" s="2"/>
      <c r="G372" s="163"/>
      <c r="H372" s="163"/>
      <c r="I372" s="163"/>
      <c r="J372" s="213">
        <f>J373</f>
        <v>1183</v>
      </c>
      <c r="K372" s="213">
        <f>K373</f>
        <v>1183</v>
      </c>
      <c r="L372" s="213">
        <f>L373</f>
        <v>1183</v>
      </c>
      <c r="M372" s="213">
        <f>M373</f>
        <v>1183</v>
      </c>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row>
    <row r="373" spans="1:60" ht="60" customHeight="1">
      <c r="A373" s="2"/>
      <c r="B373" s="148" t="s">
        <v>484</v>
      </c>
      <c r="C373" s="2"/>
      <c r="D373" s="2"/>
      <c r="E373" s="2" t="s">
        <v>485</v>
      </c>
      <c r="F373" s="2"/>
      <c r="G373" s="164"/>
      <c r="H373" s="164"/>
      <c r="I373" s="164"/>
      <c r="J373" s="213">
        <f>J374+J375</f>
        <v>1183</v>
      </c>
      <c r="K373" s="213">
        <f>K374+K375</f>
        <v>1183</v>
      </c>
      <c r="L373" s="213">
        <f>L374+L375</f>
        <v>1183</v>
      </c>
      <c r="M373" s="213">
        <f>M374+M375</f>
        <v>1183</v>
      </c>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row>
    <row r="374" spans="1:60" ht="33.75" customHeight="1">
      <c r="A374" s="2"/>
      <c r="B374" s="6" t="s">
        <v>536</v>
      </c>
      <c r="C374" s="2" t="s">
        <v>427</v>
      </c>
      <c r="D374" s="2" t="s">
        <v>9</v>
      </c>
      <c r="E374" s="2" t="s">
        <v>535</v>
      </c>
      <c r="F374" s="2" t="s">
        <v>53</v>
      </c>
      <c r="G374" s="318" t="s">
        <v>569</v>
      </c>
      <c r="H374" s="288" t="s">
        <v>311</v>
      </c>
      <c r="I374" s="288" t="s">
        <v>445</v>
      </c>
      <c r="J374" s="277">
        <v>1083</v>
      </c>
      <c r="K374" s="277">
        <v>1083</v>
      </c>
      <c r="L374" s="277">
        <v>1083</v>
      </c>
      <c r="M374" s="277">
        <v>1083</v>
      </c>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row>
    <row r="375" spans="1:60" ht="34.5" customHeight="1">
      <c r="A375" s="2"/>
      <c r="B375" s="148" t="s">
        <v>483</v>
      </c>
      <c r="C375" s="2" t="s">
        <v>425</v>
      </c>
      <c r="D375" s="2" t="s">
        <v>9</v>
      </c>
      <c r="E375" s="2" t="s">
        <v>482</v>
      </c>
      <c r="F375" s="2" t="s">
        <v>38</v>
      </c>
      <c r="G375" s="319"/>
      <c r="H375" s="311"/>
      <c r="I375" s="311"/>
      <c r="J375" s="213">
        <v>100</v>
      </c>
      <c r="K375" s="213">
        <v>100</v>
      </c>
      <c r="L375" s="213">
        <v>100</v>
      </c>
      <c r="M375" s="213">
        <v>100</v>
      </c>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row>
    <row r="376" spans="1:60" ht="56.25" customHeight="1">
      <c r="A376" s="2"/>
      <c r="B376" s="148" t="s">
        <v>722</v>
      </c>
      <c r="C376" s="2"/>
      <c r="D376" s="2"/>
      <c r="E376" s="2" t="s">
        <v>590</v>
      </c>
      <c r="F376" s="2"/>
      <c r="G376" s="98"/>
      <c r="H376" s="107"/>
      <c r="I376" s="107"/>
      <c r="J376" s="213">
        <f>J379+J377+J378+J380</f>
        <v>19.991950000000003</v>
      </c>
      <c r="K376" s="213">
        <f>K379+K377+K378+K380</f>
        <v>19.991950000000003</v>
      </c>
      <c r="L376" s="213">
        <f>L379+L377+L378</f>
        <v>0</v>
      </c>
      <c r="M376" s="213">
        <f>M379+M377+M378</f>
        <v>0</v>
      </c>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row>
    <row r="377" spans="1:60" ht="29.25" customHeight="1">
      <c r="A377" s="2"/>
      <c r="B377" s="306" t="s">
        <v>757</v>
      </c>
      <c r="C377" s="2" t="s">
        <v>425</v>
      </c>
      <c r="D377" s="2" t="s">
        <v>329</v>
      </c>
      <c r="E377" s="2" t="s">
        <v>758</v>
      </c>
      <c r="F377" s="2" t="s">
        <v>38</v>
      </c>
      <c r="G377" s="296" t="s">
        <v>418</v>
      </c>
      <c r="H377" s="293" t="s">
        <v>331</v>
      </c>
      <c r="I377" s="288" t="s">
        <v>419</v>
      </c>
      <c r="J377" s="213">
        <v>5.2</v>
      </c>
      <c r="K377" s="213">
        <v>5.2</v>
      </c>
      <c r="L377" s="213">
        <v>0</v>
      </c>
      <c r="M377" s="217">
        <v>0</v>
      </c>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row>
    <row r="378" spans="1:60" ht="29.25" customHeight="1">
      <c r="A378" s="2"/>
      <c r="B378" s="308"/>
      <c r="C378" s="2" t="s">
        <v>425</v>
      </c>
      <c r="D378" s="2" t="s">
        <v>329</v>
      </c>
      <c r="E378" s="2" t="s">
        <v>758</v>
      </c>
      <c r="F378" s="2" t="s">
        <v>39</v>
      </c>
      <c r="G378" s="317"/>
      <c r="H378" s="295"/>
      <c r="I378" s="289"/>
      <c r="J378" s="213">
        <f>0.84619+2+2.7</f>
        <v>5.54619</v>
      </c>
      <c r="K378" s="213">
        <f>0.84619+2+2.7</f>
        <v>5.54619</v>
      </c>
      <c r="L378" s="213">
        <v>0</v>
      </c>
      <c r="M378" s="217">
        <v>0</v>
      </c>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row>
    <row r="379" spans="1:60" ht="49.5" customHeight="1">
      <c r="A379" s="2"/>
      <c r="B379" s="12" t="s">
        <v>759</v>
      </c>
      <c r="C379" s="2" t="s">
        <v>427</v>
      </c>
      <c r="D379" s="2" t="s">
        <v>329</v>
      </c>
      <c r="E379" s="2" t="s">
        <v>764</v>
      </c>
      <c r="F379" s="2" t="s">
        <v>38</v>
      </c>
      <c r="G379" s="317"/>
      <c r="H379" s="295"/>
      <c r="I379" s="289"/>
      <c r="J379" s="277">
        <v>8.502</v>
      </c>
      <c r="K379" s="277">
        <v>8.502</v>
      </c>
      <c r="L379" s="277">
        <v>0</v>
      </c>
      <c r="M379" s="246">
        <v>0</v>
      </c>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row>
    <row r="380" spans="1:60" ht="51.75" customHeight="1">
      <c r="A380" s="2"/>
      <c r="B380" s="12" t="s">
        <v>766</v>
      </c>
      <c r="C380" s="2" t="s">
        <v>767</v>
      </c>
      <c r="D380" s="2" t="s">
        <v>9</v>
      </c>
      <c r="E380" s="2" t="s">
        <v>768</v>
      </c>
      <c r="F380" s="2" t="s">
        <v>38</v>
      </c>
      <c r="G380" s="297"/>
      <c r="H380" s="294"/>
      <c r="I380" s="311"/>
      <c r="J380" s="213">
        <v>0.74376</v>
      </c>
      <c r="K380" s="213">
        <v>0.74376</v>
      </c>
      <c r="L380" s="213">
        <v>0</v>
      </c>
      <c r="M380" s="222">
        <v>0</v>
      </c>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row>
    <row r="381" spans="1:60" ht="45" customHeight="1">
      <c r="A381" s="2"/>
      <c r="B381" s="50" t="s">
        <v>390</v>
      </c>
      <c r="C381" s="2"/>
      <c r="D381" s="2"/>
      <c r="E381" s="2" t="s">
        <v>68</v>
      </c>
      <c r="F381" s="2"/>
      <c r="G381" s="149"/>
      <c r="H381" s="95"/>
      <c r="I381" s="150"/>
      <c r="J381" s="213">
        <f>J385+J382+J384+J386+J383</f>
        <v>3485.69027</v>
      </c>
      <c r="K381" s="213">
        <f>K385+K382+K384+K386+K383</f>
        <v>3485.69027</v>
      </c>
      <c r="L381" s="213">
        <f>L385+L382+L384+L386+L383</f>
        <v>0</v>
      </c>
      <c r="M381" s="213">
        <f>M385+M382+M384+M386+M383</f>
        <v>11908.67</v>
      </c>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row>
    <row r="382" spans="1:60" ht="30" customHeight="1">
      <c r="A382" s="2"/>
      <c r="B382" s="298" t="s">
        <v>825</v>
      </c>
      <c r="C382" s="2" t="s">
        <v>425</v>
      </c>
      <c r="D382" s="2" t="s">
        <v>9</v>
      </c>
      <c r="E382" s="2" t="s">
        <v>789</v>
      </c>
      <c r="F382" s="2" t="s">
        <v>39</v>
      </c>
      <c r="G382" s="283" t="s">
        <v>839</v>
      </c>
      <c r="H382" s="288" t="s">
        <v>311</v>
      </c>
      <c r="I382" s="288" t="s">
        <v>445</v>
      </c>
      <c r="J382" s="213">
        <f>1470+15+75+800+30+100-6</f>
        <v>2484</v>
      </c>
      <c r="K382" s="213">
        <f>1470+15+75+800+30+100-6</f>
        <v>2484</v>
      </c>
      <c r="L382" s="213">
        <v>0</v>
      </c>
      <c r="M382" s="222">
        <v>0</v>
      </c>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row>
    <row r="383" spans="1:60" ht="30" customHeight="1">
      <c r="A383" s="2"/>
      <c r="B383" s="339"/>
      <c r="C383" s="2" t="s">
        <v>425</v>
      </c>
      <c r="D383" s="2" t="s">
        <v>9</v>
      </c>
      <c r="E383" s="2" t="s">
        <v>789</v>
      </c>
      <c r="F383" s="2" t="s">
        <v>787</v>
      </c>
      <c r="G383" s="285"/>
      <c r="H383" s="285"/>
      <c r="I383" s="285"/>
      <c r="J383" s="213">
        <f>15.3+22.0204+262.3+18.7324+6</f>
        <v>324.3528</v>
      </c>
      <c r="K383" s="213">
        <f>15.3+22.0204+262.3+18.7324+6</f>
        <v>324.3528</v>
      </c>
      <c r="L383" s="213">
        <v>0</v>
      </c>
      <c r="M383" s="222">
        <v>0</v>
      </c>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row>
    <row r="384" spans="1:60" ht="32.25" customHeight="1">
      <c r="A384" s="2"/>
      <c r="B384" s="299"/>
      <c r="C384" s="2" t="s">
        <v>767</v>
      </c>
      <c r="D384" s="2" t="s">
        <v>9</v>
      </c>
      <c r="E384" s="2" t="s">
        <v>789</v>
      </c>
      <c r="F384" s="2" t="s">
        <v>787</v>
      </c>
      <c r="G384" s="3" t="s">
        <v>837</v>
      </c>
      <c r="H384" s="5" t="s">
        <v>311</v>
      </c>
      <c r="I384" s="5" t="s">
        <v>838</v>
      </c>
      <c r="J384" s="213">
        <v>390</v>
      </c>
      <c r="K384" s="213">
        <v>390</v>
      </c>
      <c r="L384" s="213">
        <v>0</v>
      </c>
      <c r="M384" s="222">
        <v>0</v>
      </c>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row>
    <row r="385" spans="1:60" ht="59.25" customHeight="1">
      <c r="A385" s="2"/>
      <c r="B385" s="12" t="s">
        <v>736</v>
      </c>
      <c r="C385" s="2" t="s">
        <v>424</v>
      </c>
      <c r="D385" s="2" t="s">
        <v>9</v>
      </c>
      <c r="E385" s="2" t="s">
        <v>737</v>
      </c>
      <c r="F385" s="2" t="s">
        <v>38</v>
      </c>
      <c r="G385" s="3" t="s">
        <v>740</v>
      </c>
      <c r="H385" s="5" t="s">
        <v>738</v>
      </c>
      <c r="I385" s="5" t="s">
        <v>739</v>
      </c>
      <c r="J385" s="213">
        <f>6.64824+3080.529-3087.17724</f>
        <v>0</v>
      </c>
      <c r="K385" s="213">
        <f>6.64824+3080.529-3087.17724</f>
        <v>0</v>
      </c>
      <c r="L385" s="213">
        <f>21808+6961.258+3087.17724-31856.43524</f>
        <v>0</v>
      </c>
      <c r="M385" s="222">
        <f>20640.2-8731.53</f>
        <v>11908.67</v>
      </c>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row>
    <row r="386" spans="1:60" ht="146.25" customHeight="1">
      <c r="A386" s="2"/>
      <c r="B386" s="12" t="s">
        <v>761</v>
      </c>
      <c r="C386" s="2" t="s">
        <v>424</v>
      </c>
      <c r="D386" s="2" t="s">
        <v>9</v>
      </c>
      <c r="E386" s="2" t="s">
        <v>843</v>
      </c>
      <c r="F386" s="2" t="s">
        <v>38</v>
      </c>
      <c r="G386" s="3" t="s">
        <v>930</v>
      </c>
      <c r="H386" s="5" t="s">
        <v>799</v>
      </c>
      <c r="I386" s="5" t="s">
        <v>844</v>
      </c>
      <c r="J386" s="213">
        <f>0.0354+287.30207</f>
        <v>287.33747</v>
      </c>
      <c r="K386" s="213">
        <f>0.0354+287.30207</f>
        <v>287.33747</v>
      </c>
      <c r="L386" s="213">
        <v>0</v>
      </c>
      <c r="M386" s="222">
        <v>0</v>
      </c>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row>
    <row r="387" spans="1:60" ht="60" customHeight="1">
      <c r="A387" s="78" t="s">
        <v>135</v>
      </c>
      <c r="B387" s="88" t="s">
        <v>136</v>
      </c>
      <c r="C387" s="78"/>
      <c r="D387" s="78"/>
      <c r="E387" s="80"/>
      <c r="F387" s="78"/>
      <c r="G387" s="84"/>
      <c r="H387" s="89"/>
      <c r="I387" s="89"/>
      <c r="J387" s="212">
        <f>J388+J400+J408</f>
        <v>60204.07956</v>
      </c>
      <c r="K387" s="212">
        <f>K388+K400+K408</f>
        <v>60204.07956</v>
      </c>
      <c r="L387" s="212">
        <f>L388</f>
        <v>53391.7</v>
      </c>
      <c r="M387" s="212">
        <f>M388</f>
        <v>57276.490000000005</v>
      </c>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row>
    <row r="388" spans="1:60" ht="30" customHeight="1">
      <c r="A388" s="2"/>
      <c r="B388" s="7" t="s">
        <v>294</v>
      </c>
      <c r="C388" s="2"/>
      <c r="D388" s="2"/>
      <c r="E388" s="2" t="s">
        <v>64</v>
      </c>
      <c r="F388" s="2"/>
      <c r="G388" s="3"/>
      <c r="H388" s="5"/>
      <c r="I388" s="4"/>
      <c r="J388" s="213">
        <f>J389+J391</f>
        <v>59690.73456</v>
      </c>
      <c r="K388" s="213">
        <f>K389+K391</f>
        <v>59690.73456</v>
      </c>
      <c r="L388" s="213">
        <f>L389+L391</f>
        <v>53391.7</v>
      </c>
      <c r="M388" s="213">
        <f>M389+M391</f>
        <v>57276.490000000005</v>
      </c>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row>
    <row r="389" spans="1:60" ht="30" customHeight="1">
      <c r="A389" s="2"/>
      <c r="B389" s="13" t="s">
        <v>374</v>
      </c>
      <c r="C389" s="2"/>
      <c r="D389" s="2"/>
      <c r="E389" s="2" t="s">
        <v>375</v>
      </c>
      <c r="F389" s="2"/>
      <c r="G389" s="3"/>
      <c r="H389" s="5"/>
      <c r="I389" s="4"/>
      <c r="J389" s="213">
        <f>J390</f>
        <v>20.099999999999987</v>
      </c>
      <c r="K389" s="213">
        <f>K390</f>
        <v>20.099999999999994</v>
      </c>
      <c r="L389" s="213">
        <f>L390</f>
        <v>134</v>
      </c>
      <c r="M389" s="213">
        <f>M390</f>
        <v>134</v>
      </c>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row>
    <row r="390" spans="1:60" ht="51.75" customHeight="1">
      <c r="A390" s="2"/>
      <c r="B390" s="13" t="s">
        <v>372</v>
      </c>
      <c r="C390" s="2" t="s">
        <v>425</v>
      </c>
      <c r="D390" s="2" t="s">
        <v>329</v>
      </c>
      <c r="E390" s="2" t="s">
        <v>373</v>
      </c>
      <c r="F390" s="2" t="s">
        <v>37</v>
      </c>
      <c r="G390" s="9" t="s">
        <v>681</v>
      </c>
      <c r="H390" s="5" t="s">
        <v>92</v>
      </c>
      <c r="I390" s="5" t="s">
        <v>384</v>
      </c>
      <c r="J390" s="213">
        <f>129.2-25.5-80-3.6</f>
        <v>20.099999999999987</v>
      </c>
      <c r="K390" s="277">
        <f>129.2-25.5-3.6-80</f>
        <v>20.099999999999994</v>
      </c>
      <c r="L390" s="213">
        <v>134</v>
      </c>
      <c r="M390" s="213">
        <v>134</v>
      </c>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row>
    <row r="391" spans="1:60" ht="30" customHeight="1">
      <c r="A391" s="2"/>
      <c r="B391" s="7" t="s">
        <v>295</v>
      </c>
      <c r="C391" s="2"/>
      <c r="D391" s="2"/>
      <c r="E391" s="2" t="s">
        <v>296</v>
      </c>
      <c r="F391" s="2"/>
      <c r="G391" s="3"/>
      <c r="H391" s="5"/>
      <c r="I391" s="4"/>
      <c r="J391" s="213">
        <f>SUM(J392:J399)</f>
        <v>59670.63456</v>
      </c>
      <c r="K391" s="213">
        <f>SUM(K392:K399)</f>
        <v>59670.63456</v>
      </c>
      <c r="L391" s="213">
        <f>SUM(L392:L399)</f>
        <v>53257.7</v>
      </c>
      <c r="M391" s="213">
        <f>SUM(M392:M399)</f>
        <v>57142.490000000005</v>
      </c>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row>
    <row r="392" spans="1:60" ht="33.75" customHeight="1">
      <c r="A392" s="2"/>
      <c r="B392" s="330" t="s">
        <v>297</v>
      </c>
      <c r="C392" s="2" t="s">
        <v>385</v>
      </c>
      <c r="D392" s="2" t="s">
        <v>386</v>
      </c>
      <c r="E392" s="2" t="s">
        <v>426</v>
      </c>
      <c r="F392" s="2" t="s">
        <v>37</v>
      </c>
      <c r="G392" s="283" t="s">
        <v>682</v>
      </c>
      <c r="H392" s="286" t="s">
        <v>104</v>
      </c>
      <c r="I392" s="288" t="s">
        <v>330</v>
      </c>
      <c r="J392" s="213">
        <f>2531.9+47.98</f>
        <v>2579.88</v>
      </c>
      <c r="K392" s="213">
        <f>2531.9+47.98</f>
        <v>2579.88</v>
      </c>
      <c r="L392" s="213">
        <v>2531.9</v>
      </c>
      <c r="M392" s="213">
        <v>2531.9</v>
      </c>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row>
    <row r="393" spans="1:60" ht="33.75" customHeight="1">
      <c r="A393" s="2"/>
      <c r="B393" s="338"/>
      <c r="C393" s="2" t="s">
        <v>425</v>
      </c>
      <c r="D393" s="2" t="s">
        <v>329</v>
      </c>
      <c r="E393" s="2" t="s">
        <v>426</v>
      </c>
      <c r="F393" s="2" t="s">
        <v>37</v>
      </c>
      <c r="G393" s="328"/>
      <c r="H393" s="328"/>
      <c r="I393" s="328"/>
      <c r="J393" s="218">
        <f>27240.5-2494.5+1399.6+664.8-664.8-153.78328-49.6-90.3-1575-15-75</f>
        <v>24186.91672</v>
      </c>
      <c r="K393" s="218">
        <f>27240.5-2494.5+1399.6+664.8-664.8-153.78328-49.6-90.3-1575-15-75</f>
        <v>24186.91672</v>
      </c>
      <c r="L393" s="218">
        <f>24746-5553.9</f>
        <v>19192.1</v>
      </c>
      <c r="M393" s="218">
        <v>24746</v>
      </c>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row>
    <row r="394" spans="1:60" ht="49.5" customHeight="1">
      <c r="A394" s="2"/>
      <c r="B394" s="7" t="s">
        <v>376</v>
      </c>
      <c r="C394" s="2" t="s">
        <v>425</v>
      </c>
      <c r="D394" s="2" t="s">
        <v>9</v>
      </c>
      <c r="E394" s="2" t="s">
        <v>377</v>
      </c>
      <c r="F394" s="2" t="s">
        <v>37</v>
      </c>
      <c r="G394" s="97" t="s">
        <v>451</v>
      </c>
      <c r="H394" s="1" t="s">
        <v>389</v>
      </c>
      <c r="I394" s="1" t="s">
        <v>572</v>
      </c>
      <c r="J394" s="213">
        <v>346.6</v>
      </c>
      <c r="K394" s="213">
        <v>346.6</v>
      </c>
      <c r="L394" s="218">
        <v>346.6</v>
      </c>
      <c r="M394" s="218">
        <v>346.6</v>
      </c>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row>
    <row r="395" spans="1:60" ht="49.5" customHeight="1">
      <c r="A395" s="2"/>
      <c r="B395" s="7" t="s">
        <v>446</v>
      </c>
      <c r="C395" s="2" t="s">
        <v>425</v>
      </c>
      <c r="D395" s="2" t="s">
        <v>329</v>
      </c>
      <c r="E395" s="2" t="s">
        <v>447</v>
      </c>
      <c r="F395" s="2" t="s">
        <v>37</v>
      </c>
      <c r="G395" s="9" t="s">
        <v>683</v>
      </c>
      <c r="H395" s="5" t="s">
        <v>92</v>
      </c>
      <c r="I395" s="5" t="s">
        <v>384</v>
      </c>
      <c r="J395" s="213">
        <f>265-14.7-164.5966</f>
        <v>85.70340000000002</v>
      </c>
      <c r="K395" s="213">
        <f>265-14.7-164.5966</f>
        <v>85.70340000000002</v>
      </c>
      <c r="L395" s="218">
        <v>0</v>
      </c>
      <c r="M395" s="218">
        <v>0</v>
      </c>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row>
    <row r="396" spans="1:13" ht="57.75" customHeight="1">
      <c r="A396" s="2"/>
      <c r="B396" s="340" t="s">
        <v>444</v>
      </c>
      <c r="C396" s="2" t="s">
        <v>425</v>
      </c>
      <c r="D396" s="2" t="s">
        <v>371</v>
      </c>
      <c r="E396" s="2" t="s">
        <v>426</v>
      </c>
      <c r="F396" s="2" t="s">
        <v>37</v>
      </c>
      <c r="G396" s="3" t="s">
        <v>448</v>
      </c>
      <c r="H396" s="5" t="s">
        <v>450</v>
      </c>
      <c r="I396" s="4" t="s">
        <v>449</v>
      </c>
      <c r="J396" s="213">
        <v>2494.5</v>
      </c>
      <c r="K396" s="213">
        <v>2494.5</v>
      </c>
      <c r="L396" s="213">
        <v>2494.5</v>
      </c>
      <c r="M396" s="213">
        <v>2494.5</v>
      </c>
    </row>
    <row r="397" spans="1:13" ht="33.75" customHeight="1">
      <c r="A397" s="2"/>
      <c r="B397" s="281"/>
      <c r="C397" s="2" t="s">
        <v>427</v>
      </c>
      <c r="D397" s="2" t="s">
        <v>329</v>
      </c>
      <c r="E397" s="2" t="s">
        <v>426</v>
      </c>
      <c r="F397" s="2" t="s">
        <v>37</v>
      </c>
      <c r="G397" s="354" t="s">
        <v>684</v>
      </c>
      <c r="H397" s="352" t="s">
        <v>311</v>
      </c>
      <c r="I397" s="388" t="s">
        <v>330</v>
      </c>
      <c r="J397" s="277">
        <f>9843.3-124.4-38-49.36556-25.6</f>
        <v>9605.934439999999</v>
      </c>
      <c r="K397" s="277">
        <f>9843.3-124.4-38-49.36556-25.6</f>
        <v>9605.934439999999</v>
      </c>
      <c r="L397" s="277">
        <f>9843.3-87</f>
        <v>9756.3</v>
      </c>
      <c r="M397" s="277">
        <v>9843.3</v>
      </c>
    </row>
    <row r="398" spans="1:13" ht="18.75" customHeight="1">
      <c r="A398" s="2"/>
      <c r="B398" s="281"/>
      <c r="C398" s="2" t="s">
        <v>4</v>
      </c>
      <c r="D398" s="2" t="s">
        <v>9</v>
      </c>
      <c r="E398" s="2" t="s">
        <v>426</v>
      </c>
      <c r="F398" s="2" t="s">
        <v>37</v>
      </c>
      <c r="G398" s="354"/>
      <c r="H398" s="352"/>
      <c r="I398" s="388"/>
      <c r="J398" s="213">
        <f>7636.2</f>
        <v>7636.2</v>
      </c>
      <c r="K398" s="213">
        <f>7636.2</f>
        <v>7636.2</v>
      </c>
      <c r="L398" s="213">
        <f>7636.2-1050+900-70-1004.4</f>
        <v>6411.8</v>
      </c>
      <c r="M398" s="213">
        <f>7636.2-70-2910.51</f>
        <v>4655.69</v>
      </c>
    </row>
    <row r="399" spans="1:13" ht="51" customHeight="1">
      <c r="A399" s="1"/>
      <c r="B399" s="312"/>
      <c r="C399" s="180" t="s">
        <v>494</v>
      </c>
      <c r="D399" s="106" t="s">
        <v>9</v>
      </c>
      <c r="E399" s="2" t="s">
        <v>426</v>
      </c>
      <c r="F399" s="106" t="s">
        <v>37</v>
      </c>
      <c r="G399" s="354"/>
      <c r="H399" s="352"/>
      <c r="I399" s="388"/>
      <c r="J399" s="213">
        <f>12956.9-150-72</f>
        <v>12734.9</v>
      </c>
      <c r="K399" s="213">
        <f>12956.9-150-72</f>
        <v>12734.9</v>
      </c>
      <c r="L399" s="213">
        <v>12524.5</v>
      </c>
      <c r="M399" s="213">
        <v>12524.5</v>
      </c>
    </row>
    <row r="400" spans="1:13" ht="48.75" customHeight="1">
      <c r="A400" s="1"/>
      <c r="B400" s="99" t="s">
        <v>722</v>
      </c>
      <c r="C400" s="258"/>
      <c r="D400" s="106"/>
      <c r="E400" s="2" t="s">
        <v>590</v>
      </c>
      <c r="F400" s="106"/>
      <c r="G400" s="3"/>
      <c r="H400" s="49"/>
      <c r="I400" s="5"/>
      <c r="J400" s="213">
        <f>SUM(J401:J407)</f>
        <v>496.225</v>
      </c>
      <c r="K400" s="213">
        <f>SUM(K401:K407)</f>
        <v>496.225</v>
      </c>
      <c r="L400" s="213">
        <f>SUM(L401:L404)</f>
        <v>0</v>
      </c>
      <c r="M400" s="213">
        <f>SUM(M401:M404)</f>
        <v>0</v>
      </c>
    </row>
    <row r="401" spans="1:13" ht="59.25" customHeight="1">
      <c r="A401" s="1"/>
      <c r="B401" s="11" t="s">
        <v>846</v>
      </c>
      <c r="C401" s="2" t="s">
        <v>425</v>
      </c>
      <c r="D401" s="106" t="s">
        <v>371</v>
      </c>
      <c r="E401" s="2" t="s">
        <v>845</v>
      </c>
      <c r="F401" s="106" t="s">
        <v>37</v>
      </c>
      <c r="G401" s="3" t="s">
        <v>931</v>
      </c>
      <c r="H401" s="49" t="s">
        <v>311</v>
      </c>
      <c r="I401" s="5" t="s">
        <v>849</v>
      </c>
      <c r="J401" s="213">
        <f>52.5+37.5+60</f>
        <v>150</v>
      </c>
      <c r="K401" s="213">
        <f>52.5+37.5+60</f>
        <v>150</v>
      </c>
      <c r="L401" s="213">
        <v>0</v>
      </c>
      <c r="M401" s="213">
        <v>0</v>
      </c>
    </row>
    <row r="402" spans="1:13" ht="24" customHeight="1">
      <c r="A402" s="1"/>
      <c r="B402" s="280" t="s">
        <v>1013</v>
      </c>
      <c r="C402" s="2" t="s">
        <v>427</v>
      </c>
      <c r="D402" s="2" t="s">
        <v>329</v>
      </c>
      <c r="E402" s="2" t="s">
        <v>1014</v>
      </c>
      <c r="F402" s="2" t="s">
        <v>37</v>
      </c>
      <c r="G402" s="283" t="s">
        <v>1016</v>
      </c>
      <c r="H402" s="286" t="s">
        <v>311</v>
      </c>
      <c r="I402" s="288" t="s">
        <v>1015</v>
      </c>
      <c r="J402" s="213">
        <v>34</v>
      </c>
      <c r="K402" s="213">
        <v>34</v>
      </c>
      <c r="L402" s="213">
        <v>0</v>
      </c>
      <c r="M402" s="213">
        <v>0</v>
      </c>
    </row>
    <row r="403" spans="1:13" ht="25.5" customHeight="1">
      <c r="A403" s="1"/>
      <c r="B403" s="281"/>
      <c r="C403" s="2" t="s">
        <v>4</v>
      </c>
      <c r="D403" s="2" t="s">
        <v>9</v>
      </c>
      <c r="E403" s="2" t="s">
        <v>1014</v>
      </c>
      <c r="F403" s="2" t="s">
        <v>37</v>
      </c>
      <c r="G403" s="284"/>
      <c r="H403" s="287"/>
      <c r="I403" s="289"/>
      <c r="J403" s="213">
        <v>55</v>
      </c>
      <c r="K403" s="213">
        <v>55</v>
      </c>
      <c r="L403" s="213">
        <v>0</v>
      </c>
      <c r="M403" s="213">
        <v>0</v>
      </c>
    </row>
    <row r="404" spans="1:13" ht="25.5" customHeight="1">
      <c r="A404" s="1"/>
      <c r="B404" s="281"/>
      <c r="C404" s="275" t="s">
        <v>494</v>
      </c>
      <c r="D404" s="106" t="s">
        <v>9</v>
      </c>
      <c r="E404" s="2" t="s">
        <v>1014</v>
      </c>
      <c r="F404" s="106" t="s">
        <v>37</v>
      </c>
      <c r="G404" s="284"/>
      <c r="H404" s="287"/>
      <c r="I404" s="289"/>
      <c r="J404" s="213">
        <v>55</v>
      </c>
      <c r="K404" s="213">
        <v>55</v>
      </c>
      <c r="L404" s="213">
        <v>0</v>
      </c>
      <c r="M404" s="213">
        <v>0</v>
      </c>
    </row>
    <row r="405" spans="1:13" ht="33" customHeight="1">
      <c r="A405" s="1"/>
      <c r="B405" s="281"/>
      <c r="C405" s="2" t="s">
        <v>425</v>
      </c>
      <c r="D405" s="106" t="s">
        <v>371</v>
      </c>
      <c r="E405" s="2" t="s">
        <v>1014</v>
      </c>
      <c r="F405" s="106" t="s">
        <v>37</v>
      </c>
      <c r="G405" s="284"/>
      <c r="H405" s="287"/>
      <c r="I405" s="289"/>
      <c r="J405" s="213">
        <v>50</v>
      </c>
      <c r="K405" s="213">
        <v>50</v>
      </c>
      <c r="L405" s="213">
        <v>0</v>
      </c>
      <c r="M405" s="213">
        <v>0</v>
      </c>
    </row>
    <row r="406" spans="1:13" ht="33" customHeight="1">
      <c r="A406" s="1"/>
      <c r="B406" s="281"/>
      <c r="C406" s="2" t="s">
        <v>425</v>
      </c>
      <c r="D406" s="106" t="s">
        <v>329</v>
      </c>
      <c r="E406" s="2" t="s">
        <v>1014</v>
      </c>
      <c r="F406" s="106" t="s">
        <v>37</v>
      </c>
      <c r="G406" s="284"/>
      <c r="H406" s="287"/>
      <c r="I406" s="289"/>
      <c r="J406" s="213">
        <v>126</v>
      </c>
      <c r="K406" s="213">
        <v>126</v>
      </c>
      <c r="L406" s="213">
        <v>0</v>
      </c>
      <c r="M406" s="213">
        <v>0</v>
      </c>
    </row>
    <row r="407" spans="1:13" ht="25.5" customHeight="1">
      <c r="A407" s="1"/>
      <c r="B407" s="282"/>
      <c r="C407" s="276" t="s">
        <v>424</v>
      </c>
      <c r="D407" s="106" t="s">
        <v>332</v>
      </c>
      <c r="E407" s="2" t="s">
        <v>1014</v>
      </c>
      <c r="F407" s="106" t="s">
        <v>37</v>
      </c>
      <c r="G407" s="285"/>
      <c r="H407" s="285"/>
      <c r="I407" s="285"/>
      <c r="J407" s="213">
        <v>26.225</v>
      </c>
      <c r="K407" s="213">
        <v>26.225</v>
      </c>
      <c r="L407" s="213">
        <v>0</v>
      </c>
      <c r="M407" s="213">
        <v>0</v>
      </c>
    </row>
    <row r="408" spans="1:13" ht="53.25" customHeight="1">
      <c r="A408" s="1"/>
      <c r="B408" s="99" t="s">
        <v>788</v>
      </c>
      <c r="C408" s="2"/>
      <c r="D408" s="106"/>
      <c r="E408" s="2" t="s">
        <v>68</v>
      </c>
      <c r="F408" s="106"/>
      <c r="G408" s="3"/>
      <c r="H408" s="49"/>
      <c r="I408" s="5"/>
      <c r="J408" s="213">
        <f>J409</f>
        <v>17.12</v>
      </c>
      <c r="K408" s="213">
        <f>K409</f>
        <v>17.12</v>
      </c>
      <c r="L408" s="213">
        <f>L409</f>
        <v>0</v>
      </c>
      <c r="M408" s="213">
        <f>M409</f>
        <v>0</v>
      </c>
    </row>
    <row r="409" spans="1:13" ht="36.75" customHeight="1">
      <c r="A409" s="1"/>
      <c r="B409" s="99" t="s">
        <v>848</v>
      </c>
      <c r="C409" s="2" t="s">
        <v>425</v>
      </c>
      <c r="D409" s="106" t="s">
        <v>9</v>
      </c>
      <c r="E409" s="2" t="s">
        <v>847</v>
      </c>
      <c r="F409" s="106" t="s">
        <v>37</v>
      </c>
      <c r="G409" s="3" t="s">
        <v>932</v>
      </c>
      <c r="H409" s="49" t="s">
        <v>311</v>
      </c>
      <c r="I409" s="5" t="s">
        <v>445</v>
      </c>
      <c r="J409" s="213">
        <v>17.12</v>
      </c>
      <c r="K409" s="213">
        <v>17.12</v>
      </c>
      <c r="L409" s="213">
        <v>0</v>
      </c>
      <c r="M409" s="213">
        <v>0</v>
      </c>
    </row>
    <row r="410" spans="1:13" ht="36.75" customHeight="1">
      <c r="A410" s="227" t="s">
        <v>1007</v>
      </c>
      <c r="B410" s="271" t="s">
        <v>1018</v>
      </c>
      <c r="C410" s="78"/>
      <c r="D410" s="78"/>
      <c r="E410" s="78"/>
      <c r="F410" s="78"/>
      <c r="G410" s="84"/>
      <c r="H410" s="85"/>
      <c r="I410" s="85"/>
      <c r="J410" s="212">
        <f>J411</f>
        <v>2202.2794300000005</v>
      </c>
      <c r="K410" s="212">
        <f aca="true" t="shared" si="21" ref="K410:M411">K411</f>
        <v>655.8564299999998</v>
      </c>
      <c r="L410" s="212">
        <f t="shared" si="21"/>
        <v>768.27</v>
      </c>
      <c r="M410" s="212">
        <f t="shared" si="21"/>
        <v>2138.56387</v>
      </c>
    </row>
    <row r="411" spans="1:13" ht="36.75" customHeight="1">
      <c r="A411" s="1"/>
      <c r="B411" s="99"/>
      <c r="C411" s="2"/>
      <c r="D411" s="106"/>
      <c r="E411" s="2" t="s">
        <v>68</v>
      </c>
      <c r="F411" s="106"/>
      <c r="G411" s="3"/>
      <c r="H411" s="270"/>
      <c r="I411" s="5"/>
      <c r="J411" s="213">
        <f>J412</f>
        <v>2202.2794300000005</v>
      </c>
      <c r="K411" s="213">
        <f t="shared" si="21"/>
        <v>655.8564299999998</v>
      </c>
      <c r="L411" s="213">
        <f t="shared" si="21"/>
        <v>768.27</v>
      </c>
      <c r="M411" s="213">
        <f t="shared" si="21"/>
        <v>2138.56387</v>
      </c>
    </row>
    <row r="412" spans="1:13" ht="58.5" customHeight="1">
      <c r="A412" s="1"/>
      <c r="B412" s="12" t="s">
        <v>392</v>
      </c>
      <c r="C412" s="2" t="s">
        <v>425</v>
      </c>
      <c r="D412" s="2" t="s">
        <v>5</v>
      </c>
      <c r="E412" s="2" t="s">
        <v>124</v>
      </c>
      <c r="F412" s="2" t="s">
        <v>6</v>
      </c>
      <c r="G412" s="3" t="s">
        <v>995</v>
      </c>
      <c r="H412" s="5" t="s">
        <v>311</v>
      </c>
      <c r="I412" s="5" t="s">
        <v>573</v>
      </c>
      <c r="J412" s="213">
        <f>4995.28-722.7858-1099.26704-970.94773</f>
        <v>2202.2794300000005</v>
      </c>
      <c r="K412" s="213">
        <f>4367.88-722.7858-1099.26704-970.94773-441.65-477.373</f>
        <v>655.8564299999998</v>
      </c>
      <c r="L412" s="213">
        <v>768.27</v>
      </c>
      <c r="M412" s="222">
        <v>2138.56387</v>
      </c>
    </row>
    <row r="413" spans="1:13" ht="135" customHeight="1">
      <c r="A413" s="78" t="s">
        <v>132</v>
      </c>
      <c r="B413" s="79" t="s">
        <v>131</v>
      </c>
      <c r="C413" s="86"/>
      <c r="D413" s="78"/>
      <c r="E413" s="78"/>
      <c r="F413" s="78"/>
      <c r="G413" s="81"/>
      <c r="H413" s="78"/>
      <c r="I413" s="78"/>
      <c r="J413" s="212">
        <f>J414+J424</f>
        <v>48700.37562</v>
      </c>
      <c r="K413" s="212">
        <f>K414+K424</f>
        <v>45989.4425</v>
      </c>
      <c r="L413" s="212">
        <f>L414+L424</f>
        <v>26954.233</v>
      </c>
      <c r="M413" s="212">
        <f>M414+M424</f>
        <v>28817.933</v>
      </c>
    </row>
    <row r="414" spans="1:62" ht="48.75" customHeight="1">
      <c r="A414" s="105"/>
      <c r="B414" s="50" t="s">
        <v>390</v>
      </c>
      <c r="C414" s="4"/>
      <c r="D414" s="106"/>
      <c r="E414" s="106" t="s">
        <v>68</v>
      </c>
      <c r="F414" s="106"/>
      <c r="G414" s="117"/>
      <c r="H414" s="105"/>
      <c r="I414" s="105"/>
      <c r="J414" s="213">
        <f>J415+J416+J417+J418+J419+J421+J423</f>
        <v>46982.21312</v>
      </c>
      <c r="K414" s="213">
        <f>K415+K416+K417+K418+K419+K421+K423</f>
        <v>44271.28</v>
      </c>
      <c r="L414" s="213">
        <f>L415+L416+L417+L418+L419+L421+L423</f>
        <v>26048.333</v>
      </c>
      <c r="M414" s="213">
        <f>M415+M416+M417+M418+M419+M421+M423</f>
        <v>27912.033</v>
      </c>
      <c r="BI414" s="26"/>
      <c r="BJ414" s="26"/>
    </row>
    <row r="415" spans="1:13" ht="147.75" customHeight="1">
      <c r="A415" s="2"/>
      <c r="B415" s="13" t="s">
        <v>983</v>
      </c>
      <c r="C415" s="2" t="s">
        <v>427</v>
      </c>
      <c r="D415" s="2" t="s">
        <v>11</v>
      </c>
      <c r="E415" s="2" t="s">
        <v>760</v>
      </c>
      <c r="F415" s="10" t="s">
        <v>38</v>
      </c>
      <c r="G415" s="138" t="s">
        <v>933</v>
      </c>
      <c r="H415" s="49" t="s">
        <v>934</v>
      </c>
      <c r="I415" s="49" t="s">
        <v>936</v>
      </c>
      <c r="J415" s="277">
        <f>100.8+15.533+232.7</f>
        <v>349.033</v>
      </c>
      <c r="K415" s="277">
        <f>100.8+15.533+232.7</f>
        <v>349.033</v>
      </c>
      <c r="L415" s="277">
        <f>100.8+15.533+232.7</f>
        <v>349.033</v>
      </c>
      <c r="M415" s="277">
        <f>100.8+15.533+232.7</f>
        <v>349.033</v>
      </c>
    </row>
    <row r="416" spans="1:13" ht="38.25" customHeight="1">
      <c r="A416" s="290"/>
      <c r="B416" s="330" t="s">
        <v>387</v>
      </c>
      <c r="C416" s="2" t="s">
        <v>425</v>
      </c>
      <c r="D416" s="106" t="s">
        <v>9</v>
      </c>
      <c r="E416" s="10" t="s">
        <v>388</v>
      </c>
      <c r="F416" s="106" t="s">
        <v>187</v>
      </c>
      <c r="G416" s="283" t="s">
        <v>937</v>
      </c>
      <c r="H416" s="288" t="s">
        <v>703</v>
      </c>
      <c r="I416" s="288" t="s">
        <v>935</v>
      </c>
      <c r="J416" s="218">
        <f>15757.90597+2800+301.5+627.39-62.45922+498+12.38521-0.00506+237.096+116.69821+495.949+149.77635+75.4+4.75764+482.91494+19.04992+135.14148</f>
        <v>21651.50044</v>
      </c>
      <c r="K416" s="218">
        <f>15757.90597+2800+301.5+627.39-62.45922+498+12.38521-0.00506+237.096+116.69821+495.949+149.77635+75.4+4.75764+482.91494+19.04992+135.14148</f>
        <v>21651.50044</v>
      </c>
      <c r="L416" s="218">
        <f>12000+4271.9-4485.01974</f>
        <v>11786.88026</v>
      </c>
      <c r="M416" s="218">
        <f>14000+4271.9</f>
        <v>18271.9</v>
      </c>
    </row>
    <row r="417" spans="1:13" ht="34.5" customHeight="1">
      <c r="A417" s="291"/>
      <c r="B417" s="341"/>
      <c r="C417" s="2" t="s">
        <v>425</v>
      </c>
      <c r="D417" s="106" t="s">
        <v>9</v>
      </c>
      <c r="E417" s="10" t="s">
        <v>388</v>
      </c>
      <c r="F417" s="106" t="s">
        <v>38</v>
      </c>
      <c r="G417" s="284"/>
      <c r="H417" s="289"/>
      <c r="I417" s="289"/>
      <c r="J417" s="213">
        <f>4736.39742+2482.91911+300.12289+482-12.38521+116.7-2.015-114.685+2474.038-645.72535-109.85</f>
        <v>9707.516859999998</v>
      </c>
      <c r="K417" s="213">
        <f>4736.39742+2482.91911+300.12289+482-12.38521+116.7-2.015-114.685+2474.038-645.72535-109.85-4.75764-2136.3-415.68408-19.04992-135.14148</f>
        <v>6996.583739999997</v>
      </c>
      <c r="L417" s="218">
        <f>4485.01974+2136.3</f>
        <v>6621.31974</v>
      </c>
      <c r="M417" s="218">
        <v>0</v>
      </c>
    </row>
    <row r="418" spans="1:13" ht="37.5" customHeight="1">
      <c r="A418" s="292"/>
      <c r="B418" s="338"/>
      <c r="C418" s="2" t="s">
        <v>425</v>
      </c>
      <c r="D418" s="106" t="s">
        <v>9</v>
      </c>
      <c r="E418" s="10" t="s">
        <v>388</v>
      </c>
      <c r="F418" s="106" t="s">
        <v>39</v>
      </c>
      <c r="G418" s="328"/>
      <c r="H418" s="328"/>
      <c r="I418" s="328"/>
      <c r="J418" s="218">
        <f>52.0035+242.674+0.02+5.53533+0.00506+2.019-2.01321+34.45-67.23086</f>
        <v>267.46281999999997</v>
      </c>
      <c r="K418" s="218">
        <f>52.0035+242.674+0.02+5.53533+0.00506+2.019-2.01321+34.45-67.23086</f>
        <v>267.46281999999997</v>
      </c>
      <c r="L418" s="218">
        <v>0</v>
      </c>
      <c r="M418" s="218">
        <v>0</v>
      </c>
    </row>
    <row r="419" spans="1:13" ht="12.75" customHeight="1">
      <c r="A419" s="290"/>
      <c r="B419" s="389" t="s">
        <v>293</v>
      </c>
      <c r="C419" s="290" t="s">
        <v>424</v>
      </c>
      <c r="D419" s="290" t="s">
        <v>9</v>
      </c>
      <c r="E419" s="290" t="s">
        <v>292</v>
      </c>
      <c r="F419" s="290" t="s">
        <v>187</v>
      </c>
      <c r="G419" s="283" t="s">
        <v>938</v>
      </c>
      <c r="H419" s="288" t="s">
        <v>703</v>
      </c>
      <c r="I419" s="288" t="s">
        <v>704</v>
      </c>
      <c r="J419" s="384">
        <f>12341.145+715.6</f>
        <v>13056.745</v>
      </c>
      <c r="K419" s="384">
        <f>12341.145+715.6</f>
        <v>13056.745</v>
      </c>
      <c r="L419" s="384">
        <v>5341.145</v>
      </c>
      <c r="M419" s="384">
        <v>7341.145</v>
      </c>
    </row>
    <row r="420" spans="1:13" ht="27.75" customHeight="1">
      <c r="A420" s="291"/>
      <c r="B420" s="397"/>
      <c r="C420" s="292"/>
      <c r="D420" s="292"/>
      <c r="E420" s="292"/>
      <c r="F420" s="292"/>
      <c r="G420" s="284"/>
      <c r="H420" s="289"/>
      <c r="I420" s="289"/>
      <c r="J420" s="343"/>
      <c r="K420" s="343"/>
      <c r="L420" s="343"/>
      <c r="M420" s="343"/>
    </row>
    <row r="421" spans="1:13" ht="26.25" customHeight="1">
      <c r="A421" s="291"/>
      <c r="B421" s="397"/>
      <c r="C421" s="290" t="s">
        <v>424</v>
      </c>
      <c r="D421" s="290" t="s">
        <v>9</v>
      </c>
      <c r="E421" s="290" t="s">
        <v>292</v>
      </c>
      <c r="F421" s="290" t="s">
        <v>38</v>
      </c>
      <c r="G421" s="284"/>
      <c r="H421" s="289"/>
      <c r="I421" s="289"/>
      <c r="J421" s="384">
        <v>1942.07</v>
      </c>
      <c r="K421" s="384">
        <v>1942.07</v>
      </c>
      <c r="L421" s="384">
        <v>1942.07</v>
      </c>
      <c r="M421" s="384">
        <v>1942.07</v>
      </c>
    </row>
    <row r="422" spans="1:13" ht="20.25" customHeight="1">
      <c r="A422" s="292"/>
      <c r="B422" s="397"/>
      <c r="C422" s="292"/>
      <c r="D422" s="292"/>
      <c r="E422" s="292"/>
      <c r="F422" s="292"/>
      <c r="G422" s="284"/>
      <c r="H422" s="289"/>
      <c r="I422" s="289"/>
      <c r="J422" s="343"/>
      <c r="K422" s="343"/>
      <c r="L422" s="343"/>
      <c r="M422" s="343"/>
    </row>
    <row r="423" spans="1:13" ht="24.75" customHeight="1">
      <c r="A423" s="105"/>
      <c r="B423" s="360"/>
      <c r="C423" s="105" t="s">
        <v>424</v>
      </c>
      <c r="D423" s="105" t="s">
        <v>9</v>
      </c>
      <c r="E423" s="105" t="s">
        <v>292</v>
      </c>
      <c r="F423" s="105" t="s">
        <v>39</v>
      </c>
      <c r="G423" s="328"/>
      <c r="H423" s="328"/>
      <c r="I423" s="328"/>
      <c r="J423" s="214">
        <v>7.885</v>
      </c>
      <c r="K423" s="214">
        <v>7.885</v>
      </c>
      <c r="L423" s="214">
        <v>7.885</v>
      </c>
      <c r="M423" s="214">
        <v>7.885</v>
      </c>
    </row>
    <row r="424" spans="1:13" ht="51" customHeight="1">
      <c r="A424" s="105"/>
      <c r="B424" s="147" t="s">
        <v>464</v>
      </c>
      <c r="C424" s="105"/>
      <c r="D424" s="105"/>
      <c r="E424" s="105" t="s">
        <v>54</v>
      </c>
      <c r="F424" s="105"/>
      <c r="G424" s="163"/>
      <c r="H424" s="163"/>
      <c r="I424" s="163"/>
      <c r="J424" s="214">
        <f>J425+J426+J427</f>
        <v>1718.1625000000001</v>
      </c>
      <c r="K424" s="214">
        <f>K425+K426+K427</f>
        <v>1718.1625000000001</v>
      </c>
      <c r="L424" s="214">
        <f>L425+L426</f>
        <v>905.9</v>
      </c>
      <c r="M424" s="214">
        <f>M425+M426</f>
        <v>905.9</v>
      </c>
    </row>
    <row r="425" spans="1:13" ht="36" customHeight="1">
      <c r="A425" s="105"/>
      <c r="B425" s="309" t="s">
        <v>463</v>
      </c>
      <c r="C425" s="2" t="s">
        <v>425</v>
      </c>
      <c r="D425" s="105" t="s">
        <v>103</v>
      </c>
      <c r="E425" s="105" t="s">
        <v>455</v>
      </c>
      <c r="F425" s="105" t="s">
        <v>187</v>
      </c>
      <c r="G425" s="283" t="s">
        <v>939</v>
      </c>
      <c r="H425" s="288" t="s">
        <v>705</v>
      </c>
      <c r="I425" s="288" t="s">
        <v>706</v>
      </c>
      <c r="J425" s="213">
        <v>1175</v>
      </c>
      <c r="K425" s="213">
        <v>1175</v>
      </c>
      <c r="L425" s="213">
        <v>575</v>
      </c>
      <c r="M425" s="213">
        <v>575</v>
      </c>
    </row>
    <row r="426" spans="1:13" ht="70.5" customHeight="1">
      <c r="A426" s="105"/>
      <c r="B426" s="387"/>
      <c r="C426" s="2" t="s">
        <v>425</v>
      </c>
      <c r="D426" s="105" t="s">
        <v>103</v>
      </c>
      <c r="E426" s="105" t="s">
        <v>455</v>
      </c>
      <c r="F426" s="105" t="s">
        <v>38</v>
      </c>
      <c r="G426" s="327"/>
      <c r="H426" s="327"/>
      <c r="I426" s="327"/>
      <c r="J426" s="278">
        <v>473.1285</v>
      </c>
      <c r="K426" s="278">
        <v>473.1285</v>
      </c>
      <c r="L426" s="278">
        <f>330.9</f>
        <v>330.9</v>
      </c>
      <c r="M426" s="278">
        <v>330.9</v>
      </c>
    </row>
    <row r="427" spans="1:13" ht="57.75" customHeight="1">
      <c r="A427" s="105"/>
      <c r="B427" s="360"/>
      <c r="C427" s="2" t="s">
        <v>425</v>
      </c>
      <c r="D427" s="105" t="s">
        <v>103</v>
      </c>
      <c r="E427" s="105" t="s">
        <v>455</v>
      </c>
      <c r="F427" s="105" t="s">
        <v>39</v>
      </c>
      <c r="G427" s="328"/>
      <c r="H427" s="328"/>
      <c r="I427" s="328"/>
      <c r="J427" s="214">
        <v>70.034</v>
      </c>
      <c r="K427" s="214">
        <v>70.034</v>
      </c>
      <c r="L427" s="214">
        <v>0</v>
      </c>
      <c r="M427" s="214">
        <v>0</v>
      </c>
    </row>
    <row r="428" spans="1:13" ht="64.5" customHeight="1">
      <c r="A428" s="78" t="s">
        <v>506</v>
      </c>
      <c r="B428" s="87" t="s">
        <v>507</v>
      </c>
      <c r="C428" s="78"/>
      <c r="D428" s="78"/>
      <c r="E428" s="78"/>
      <c r="F428" s="78"/>
      <c r="G428" s="78"/>
      <c r="H428" s="78"/>
      <c r="I428" s="78"/>
      <c r="J428" s="212">
        <f aca="true" t="shared" si="22" ref="J428:M430">J429</f>
        <v>0</v>
      </c>
      <c r="K428" s="212">
        <f t="shared" si="22"/>
        <v>0</v>
      </c>
      <c r="L428" s="212">
        <f t="shared" si="22"/>
        <v>0</v>
      </c>
      <c r="M428" s="212">
        <f t="shared" si="22"/>
        <v>0</v>
      </c>
    </row>
    <row r="429" spans="1:13" ht="36" customHeight="1">
      <c r="A429" s="105"/>
      <c r="B429" s="136" t="s">
        <v>235</v>
      </c>
      <c r="C429" s="2"/>
      <c r="D429" s="105"/>
      <c r="E429" s="105" t="s">
        <v>62</v>
      </c>
      <c r="F429" s="105"/>
      <c r="G429" s="105"/>
      <c r="H429" s="105"/>
      <c r="I429" s="105"/>
      <c r="J429" s="214">
        <f t="shared" si="22"/>
        <v>0</v>
      </c>
      <c r="K429" s="214">
        <f t="shared" si="22"/>
        <v>0</v>
      </c>
      <c r="L429" s="214">
        <f t="shared" si="22"/>
        <v>0</v>
      </c>
      <c r="M429" s="214">
        <f t="shared" si="22"/>
        <v>0</v>
      </c>
    </row>
    <row r="430" spans="1:13" ht="50.25" customHeight="1">
      <c r="A430" s="105"/>
      <c r="B430" s="136" t="s">
        <v>508</v>
      </c>
      <c r="C430" s="2"/>
      <c r="D430" s="105"/>
      <c r="E430" s="105" t="s">
        <v>509</v>
      </c>
      <c r="F430" s="105"/>
      <c r="G430" s="105"/>
      <c r="H430" s="105"/>
      <c r="I430" s="105"/>
      <c r="J430" s="214">
        <f t="shared" si="22"/>
        <v>0</v>
      </c>
      <c r="K430" s="214">
        <f t="shared" si="22"/>
        <v>0</v>
      </c>
      <c r="L430" s="214">
        <f t="shared" si="22"/>
        <v>0</v>
      </c>
      <c r="M430" s="214">
        <f t="shared" si="22"/>
        <v>0</v>
      </c>
    </row>
    <row r="431" spans="1:13" ht="61.5" customHeight="1">
      <c r="A431" s="105"/>
      <c r="B431" s="12" t="s">
        <v>511</v>
      </c>
      <c r="C431" s="2" t="s">
        <v>494</v>
      </c>
      <c r="D431" s="105" t="s">
        <v>8</v>
      </c>
      <c r="E431" s="105" t="s">
        <v>510</v>
      </c>
      <c r="F431" s="105" t="s">
        <v>38</v>
      </c>
      <c r="G431" s="126" t="s">
        <v>744</v>
      </c>
      <c r="H431" s="100" t="s">
        <v>44</v>
      </c>
      <c r="I431" s="100" t="s">
        <v>186</v>
      </c>
      <c r="J431" s="214">
        <f>1500-1500</f>
        <v>0</v>
      </c>
      <c r="K431" s="214">
        <f>1500-1500</f>
        <v>0</v>
      </c>
      <c r="L431" s="214">
        <v>0</v>
      </c>
      <c r="M431" s="214">
        <v>0</v>
      </c>
    </row>
    <row r="432" spans="1:60" ht="45" customHeight="1">
      <c r="A432" s="78" t="s">
        <v>432</v>
      </c>
      <c r="B432" s="79" t="s">
        <v>137</v>
      </c>
      <c r="C432" s="78"/>
      <c r="D432" s="78"/>
      <c r="E432" s="101"/>
      <c r="F432" s="78"/>
      <c r="G432" s="102"/>
      <c r="H432" s="85"/>
      <c r="I432" s="85"/>
      <c r="J432" s="212">
        <f>J433</f>
        <v>5615.11811</v>
      </c>
      <c r="K432" s="212">
        <f>K433</f>
        <v>5615.11811</v>
      </c>
      <c r="L432" s="212">
        <f>L433</f>
        <v>5232.6</v>
      </c>
      <c r="M432" s="212">
        <f>M433</f>
        <v>5232.6</v>
      </c>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row>
    <row r="433" spans="1:60" ht="45" customHeight="1">
      <c r="A433" s="2"/>
      <c r="B433" s="6" t="s">
        <v>113</v>
      </c>
      <c r="C433" s="2"/>
      <c r="D433" s="2"/>
      <c r="E433" s="10" t="s">
        <v>64</v>
      </c>
      <c r="F433" s="2"/>
      <c r="G433" s="98"/>
      <c r="H433" s="96"/>
      <c r="I433" s="96"/>
      <c r="J433" s="213">
        <f>K434</f>
        <v>5615.11811</v>
      </c>
      <c r="K433" s="213">
        <f>K434</f>
        <v>5615.11811</v>
      </c>
      <c r="L433" s="213">
        <f>L434</f>
        <v>5232.6</v>
      </c>
      <c r="M433" s="213">
        <f>M434</f>
        <v>5232.6</v>
      </c>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row>
    <row r="434" spans="1:60" ht="149.25" customHeight="1">
      <c r="A434" s="2"/>
      <c r="B434" s="6" t="s">
        <v>128</v>
      </c>
      <c r="C434" s="2" t="s">
        <v>425</v>
      </c>
      <c r="D434" s="2" t="s">
        <v>101</v>
      </c>
      <c r="E434" s="2" t="s">
        <v>114</v>
      </c>
      <c r="F434" s="2" t="s">
        <v>102</v>
      </c>
      <c r="G434" s="9" t="s">
        <v>940</v>
      </c>
      <c r="H434" s="5" t="s">
        <v>570</v>
      </c>
      <c r="I434" s="5" t="s">
        <v>571</v>
      </c>
      <c r="J434" s="213">
        <f>5232.6+358.4+24.11811</f>
        <v>5615.11811</v>
      </c>
      <c r="K434" s="213">
        <f>5232.6+358.4+24.11811</f>
        <v>5615.11811</v>
      </c>
      <c r="L434" s="213">
        <v>5232.6</v>
      </c>
      <c r="M434" s="213">
        <v>5232.6</v>
      </c>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row>
    <row r="435" spans="1:60" ht="142.5" customHeight="1">
      <c r="A435" s="37" t="s">
        <v>597</v>
      </c>
      <c r="B435" s="38" t="s">
        <v>598</v>
      </c>
      <c r="C435" s="42"/>
      <c r="D435" s="42"/>
      <c r="E435" s="42"/>
      <c r="F435" s="42"/>
      <c r="G435" s="42"/>
      <c r="H435" s="42"/>
      <c r="I435" s="42"/>
      <c r="J435" s="211">
        <f>J436+J456+J448</f>
        <v>77890.68892</v>
      </c>
      <c r="K435" s="211">
        <f>K436+K456+K448</f>
        <v>77890.68892</v>
      </c>
      <c r="L435" s="211">
        <f>L436+L456+L448</f>
        <v>65756.81076000001</v>
      </c>
      <c r="M435" s="211">
        <f>M436+M456+M448</f>
        <v>61996.59428</v>
      </c>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row>
    <row r="436" spans="1:60" ht="28.5" customHeight="1">
      <c r="A436" s="42">
        <v>3101</v>
      </c>
      <c r="B436" s="170" t="s">
        <v>596</v>
      </c>
      <c r="C436" s="42"/>
      <c r="D436" s="42"/>
      <c r="E436" s="42"/>
      <c r="F436" s="42"/>
      <c r="G436" s="42"/>
      <c r="H436" s="42"/>
      <c r="I436" s="42"/>
      <c r="J436" s="211">
        <f>J437+J443+J450+J453</f>
        <v>2221.1897</v>
      </c>
      <c r="K436" s="211">
        <f>K437+K443+K450+K453</f>
        <v>2221.1897</v>
      </c>
      <c r="L436" s="211">
        <f>L437+L443+L450+L453</f>
        <v>1734.0000000000002</v>
      </c>
      <c r="M436" s="211">
        <f>M437+M443+M450+M453</f>
        <v>2392.0640000000003</v>
      </c>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row>
    <row r="437" spans="1:60" ht="30" customHeight="1">
      <c r="A437" s="78" t="s">
        <v>599</v>
      </c>
      <c r="B437" s="171" t="s">
        <v>600</v>
      </c>
      <c r="C437" s="78"/>
      <c r="D437" s="78"/>
      <c r="E437" s="78"/>
      <c r="F437" s="78"/>
      <c r="G437" s="78"/>
      <c r="H437" s="78"/>
      <c r="I437" s="78"/>
      <c r="J437" s="212">
        <f aca="true" t="shared" si="23" ref="J437:M439">J438</f>
        <v>1517.5</v>
      </c>
      <c r="K437" s="212">
        <f t="shared" si="23"/>
        <v>1517.5</v>
      </c>
      <c r="L437" s="212">
        <f t="shared" si="23"/>
        <v>1669.3000000000002</v>
      </c>
      <c r="M437" s="212">
        <f t="shared" si="23"/>
        <v>1606.7</v>
      </c>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row>
    <row r="438" spans="1:60" ht="45" customHeight="1">
      <c r="A438" s="2"/>
      <c r="B438" s="172" t="s">
        <v>113</v>
      </c>
      <c r="C438" s="2"/>
      <c r="D438" s="2"/>
      <c r="E438" s="168" t="s">
        <v>64</v>
      </c>
      <c r="F438" s="173"/>
      <c r="G438" s="174"/>
      <c r="H438" s="2"/>
      <c r="I438" s="2"/>
      <c r="J438" s="213">
        <f t="shared" si="23"/>
        <v>1517.5</v>
      </c>
      <c r="K438" s="213">
        <f t="shared" si="23"/>
        <v>1517.5</v>
      </c>
      <c r="L438" s="213">
        <f t="shared" si="23"/>
        <v>1669.3000000000002</v>
      </c>
      <c r="M438" s="213">
        <f t="shared" si="23"/>
        <v>1606.7</v>
      </c>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row>
    <row r="439" spans="1:60" ht="30" customHeight="1">
      <c r="A439" s="2"/>
      <c r="B439" s="167" t="s">
        <v>295</v>
      </c>
      <c r="C439" s="2"/>
      <c r="D439" s="2"/>
      <c r="E439" s="168" t="s">
        <v>296</v>
      </c>
      <c r="F439" s="2"/>
      <c r="G439" s="2"/>
      <c r="H439" s="2"/>
      <c r="I439" s="2"/>
      <c r="J439" s="213">
        <f t="shared" si="23"/>
        <v>1517.5</v>
      </c>
      <c r="K439" s="213">
        <f t="shared" si="23"/>
        <v>1517.5</v>
      </c>
      <c r="L439" s="213">
        <f t="shared" si="23"/>
        <v>1669.3000000000002</v>
      </c>
      <c r="M439" s="213">
        <f t="shared" si="23"/>
        <v>1606.7</v>
      </c>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row>
    <row r="440" spans="1:60" ht="30" customHeight="1">
      <c r="A440" s="2"/>
      <c r="B440" s="167" t="s">
        <v>603</v>
      </c>
      <c r="C440" s="2"/>
      <c r="D440" s="2"/>
      <c r="E440" s="168" t="s">
        <v>604</v>
      </c>
      <c r="F440" s="2"/>
      <c r="G440" s="2"/>
      <c r="H440" s="2"/>
      <c r="I440" s="2"/>
      <c r="J440" s="213">
        <f>J441+J442</f>
        <v>1517.5</v>
      </c>
      <c r="K440" s="213">
        <f>K441+K442</f>
        <v>1517.5</v>
      </c>
      <c r="L440" s="213">
        <f>L441+L442</f>
        <v>1669.3000000000002</v>
      </c>
      <c r="M440" s="213">
        <f>M441+M442</f>
        <v>1606.7</v>
      </c>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row>
    <row r="441" spans="1:60" ht="30" customHeight="1">
      <c r="A441" s="166"/>
      <c r="B441" s="337" t="s">
        <v>606</v>
      </c>
      <c r="C441" s="2" t="s">
        <v>425</v>
      </c>
      <c r="D441" s="2" t="s">
        <v>9</v>
      </c>
      <c r="E441" s="2" t="s">
        <v>605</v>
      </c>
      <c r="F441" s="4">
        <v>120</v>
      </c>
      <c r="G441" s="296" t="s">
        <v>943</v>
      </c>
      <c r="H441" s="293" t="s">
        <v>608</v>
      </c>
      <c r="I441" s="293" t="s">
        <v>607</v>
      </c>
      <c r="J441" s="215">
        <f>1305.6+22.7183+17.82732+2.244-10-2.1013</f>
        <v>1336.2883199999999</v>
      </c>
      <c r="K441" s="215">
        <f>1305.6+22.7183+17.82732+2.244-10-2.1013</f>
        <v>1336.2883199999999</v>
      </c>
      <c r="L441" s="218">
        <v>1453.9</v>
      </c>
      <c r="M441" s="218">
        <v>1453.9</v>
      </c>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row>
    <row r="442" spans="1:60" ht="35.25" customHeight="1">
      <c r="A442" s="166"/>
      <c r="B442" s="308"/>
      <c r="C442" s="2" t="s">
        <v>425</v>
      </c>
      <c r="D442" s="2" t="s">
        <v>9</v>
      </c>
      <c r="E442" s="2" t="s">
        <v>605</v>
      </c>
      <c r="F442" s="4">
        <v>240</v>
      </c>
      <c r="G442" s="328"/>
      <c r="H442" s="285"/>
      <c r="I442" s="285"/>
      <c r="J442" s="215">
        <f>176.5+12.6817-17.82732-2.244+10+2.1013</f>
        <v>181.21168</v>
      </c>
      <c r="K442" s="215">
        <f>176.5+12.6817-17.82732-2.244+10+2.1013</f>
        <v>181.21168</v>
      </c>
      <c r="L442" s="218">
        <f>176.5+38.9</f>
        <v>215.4</v>
      </c>
      <c r="M442" s="218">
        <f>176.5-23.7</f>
        <v>152.8</v>
      </c>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row>
    <row r="443" spans="1:60" ht="30" customHeight="1">
      <c r="A443" s="78" t="s">
        <v>601</v>
      </c>
      <c r="B443" s="171" t="s">
        <v>602</v>
      </c>
      <c r="C443" s="78"/>
      <c r="D443" s="78"/>
      <c r="E443" s="78"/>
      <c r="F443" s="78"/>
      <c r="G443" s="78"/>
      <c r="H443" s="78"/>
      <c r="I443" s="78"/>
      <c r="J443" s="212">
        <f aca="true" t="shared" si="24" ref="J443:M446">J444</f>
        <v>10.4</v>
      </c>
      <c r="K443" s="212">
        <f t="shared" si="24"/>
        <v>10.4</v>
      </c>
      <c r="L443" s="212">
        <f t="shared" si="24"/>
        <v>64.7</v>
      </c>
      <c r="M443" s="212">
        <f t="shared" si="24"/>
        <v>4.2</v>
      </c>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row>
    <row r="444" spans="1:60" ht="45" customHeight="1">
      <c r="A444" s="2"/>
      <c r="B444" s="167" t="s">
        <v>113</v>
      </c>
      <c r="C444" s="166"/>
      <c r="D444" s="166"/>
      <c r="E444" s="168" t="s">
        <v>64</v>
      </c>
      <c r="F444" s="166"/>
      <c r="G444" s="166"/>
      <c r="H444" s="166"/>
      <c r="I444" s="166"/>
      <c r="J444" s="213">
        <f t="shared" si="24"/>
        <v>10.4</v>
      </c>
      <c r="K444" s="213">
        <f t="shared" si="24"/>
        <v>10.4</v>
      </c>
      <c r="L444" s="213">
        <f t="shared" si="24"/>
        <v>64.7</v>
      </c>
      <c r="M444" s="213">
        <f t="shared" si="24"/>
        <v>4.2</v>
      </c>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row>
    <row r="445" spans="1:60" ht="30" customHeight="1">
      <c r="A445" s="2"/>
      <c r="B445" s="167" t="s">
        <v>295</v>
      </c>
      <c r="C445" s="166"/>
      <c r="D445" s="166"/>
      <c r="E445" s="168" t="s">
        <v>296</v>
      </c>
      <c r="F445" s="166"/>
      <c r="G445" s="166"/>
      <c r="H445" s="166"/>
      <c r="I445" s="166"/>
      <c r="J445" s="213">
        <f t="shared" si="24"/>
        <v>10.4</v>
      </c>
      <c r="K445" s="213">
        <f t="shared" si="24"/>
        <v>10.4</v>
      </c>
      <c r="L445" s="213">
        <f t="shared" si="24"/>
        <v>64.7</v>
      </c>
      <c r="M445" s="213">
        <f t="shared" si="24"/>
        <v>4.2</v>
      </c>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row>
    <row r="446" spans="1:60" ht="30" customHeight="1">
      <c r="A446" s="2"/>
      <c r="B446" s="167" t="s">
        <v>603</v>
      </c>
      <c r="C446" s="166"/>
      <c r="D446" s="166"/>
      <c r="E446" s="168" t="s">
        <v>604</v>
      </c>
      <c r="F446" s="166"/>
      <c r="G446" s="166"/>
      <c r="H446" s="166"/>
      <c r="I446" s="166"/>
      <c r="J446" s="213">
        <f t="shared" si="24"/>
        <v>10.4</v>
      </c>
      <c r="K446" s="213">
        <f t="shared" si="24"/>
        <v>10.4</v>
      </c>
      <c r="L446" s="213">
        <f t="shared" si="24"/>
        <v>64.7</v>
      </c>
      <c r="M446" s="213">
        <f t="shared" si="24"/>
        <v>4.2</v>
      </c>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row>
    <row r="447" spans="1:60" ht="80.25" customHeight="1">
      <c r="A447" s="4"/>
      <c r="B447" s="11" t="s">
        <v>610</v>
      </c>
      <c r="C447" s="2" t="s">
        <v>425</v>
      </c>
      <c r="D447" s="2" t="s">
        <v>611</v>
      </c>
      <c r="E447" s="2" t="s">
        <v>609</v>
      </c>
      <c r="F447" s="4">
        <v>240</v>
      </c>
      <c r="G447" s="126" t="s">
        <v>944</v>
      </c>
      <c r="H447" s="105" t="s">
        <v>311</v>
      </c>
      <c r="I447" s="105" t="s">
        <v>612</v>
      </c>
      <c r="J447" s="213">
        <v>10.4</v>
      </c>
      <c r="K447" s="213">
        <v>10.4</v>
      </c>
      <c r="L447" s="213">
        <v>64.7</v>
      </c>
      <c r="M447" s="213">
        <v>4.2</v>
      </c>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row>
    <row r="448" spans="1:60" ht="111" customHeight="1">
      <c r="A448" s="78" t="s">
        <v>814</v>
      </c>
      <c r="B448" s="87" t="s">
        <v>815</v>
      </c>
      <c r="C448" s="78"/>
      <c r="D448" s="78"/>
      <c r="E448" s="78"/>
      <c r="F448" s="78"/>
      <c r="G448" s="78"/>
      <c r="H448" s="78"/>
      <c r="I448" s="78"/>
      <c r="J448" s="236">
        <f>J449</f>
        <v>3262.5</v>
      </c>
      <c r="K448" s="236">
        <f>K449</f>
        <v>3262.5</v>
      </c>
      <c r="L448" s="236">
        <f>L449</f>
        <v>0</v>
      </c>
      <c r="M448" s="236">
        <f>M449</f>
        <v>0</v>
      </c>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row>
    <row r="449" spans="1:60" ht="80.25" customHeight="1">
      <c r="A449" s="2"/>
      <c r="B449" s="7" t="s">
        <v>816</v>
      </c>
      <c r="C449" s="2" t="s">
        <v>427</v>
      </c>
      <c r="D449" s="2" t="s">
        <v>11</v>
      </c>
      <c r="E449" s="10" t="s">
        <v>817</v>
      </c>
      <c r="F449" s="2" t="s">
        <v>264</v>
      </c>
      <c r="G449" s="260" t="s">
        <v>946</v>
      </c>
      <c r="H449" s="2" t="s">
        <v>311</v>
      </c>
      <c r="I449" s="106" t="s">
        <v>945</v>
      </c>
      <c r="J449" s="277">
        <f>1562.328+29.916+1670.256</f>
        <v>3262.5</v>
      </c>
      <c r="K449" s="277">
        <f>1562.328+29.916+1670.256</f>
        <v>3262.5</v>
      </c>
      <c r="L449" s="277">
        <v>0</v>
      </c>
      <c r="M449" s="277">
        <v>0</v>
      </c>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row>
    <row r="450" spans="1:60" ht="135.75" customHeight="1">
      <c r="A450" s="83">
        <v>3117</v>
      </c>
      <c r="B450" s="82" t="s">
        <v>693</v>
      </c>
      <c r="C450" s="78"/>
      <c r="D450" s="78"/>
      <c r="E450" s="78"/>
      <c r="F450" s="83"/>
      <c r="G450" s="128"/>
      <c r="H450" s="134"/>
      <c r="I450" s="134"/>
      <c r="J450" s="212">
        <f aca="true" t="shared" si="25" ref="J450:M451">J451</f>
        <v>0</v>
      </c>
      <c r="K450" s="212">
        <f t="shared" si="25"/>
        <v>0</v>
      </c>
      <c r="L450" s="212">
        <f t="shared" si="25"/>
        <v>0</v>
      </c>
      <c r="M450" s="212">
        <f t="shared" si="25"/>
        <v>781.164</v>
      </c>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row>
    <row r="451" spans="1:60" ht="15" customHeight="1">
      <c r="A451" s="4"/>
      <c r="B451" s="11"/>
      <c r="C451" s="2"/>
      <c r="D451" s="2"/>
      <c r="E451" s="106" t="s">
        <v>68</v>
      </c>
      <c r="F451" s="4"/>
      <c r="G451" s="126"/>
      <c r="H451" s="105"/>
      <c r="I451" s="105"/>
      <c r="J451" s="213">
        <f t="shared" si="25"/>
        <v>0</v>
      </c>
      <c r="K451" s="213">
        <f t="shared" si="25"/>
        <v>0</v>
      </c>
      <c r="L451" s="213">
        <f t="shared" si="25"/>
        <v>0</v>
      </c>
      <c r="M451" s="213">
        <f t="shared" si="25"/>
        <v>781.164</v>
      </c>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row>
    <row r="452" spans="1:60" ht="71.25" customHeight="1">
      <c r="A452" s="4"/>
      <c r="B452" s="11" t="s">
        <v>695</v>
      </c>
      <c r="C452" s="2" t="s">
        <v>427</v>
      </c>
      <c r="D452" s="2" t="s">
        <v>11</v>
      </c>
      <c r="E452" s="2" t="s">
        <v>694</v>
      </c>
      <c r="F452" s="4"/>
      <c r="G452" s="182" t="s">
        <v>697</v>
      </c>
      <c r="H452" s="105" t="s">
        <v>311</v>
      </c>
      <c r="I452" s="181" t="s">
        <v>696</v>
      </c>
      <c r="J452" s="277">
        <v>0</v>
      </c>
      <c r="K452" s="277">
        <v>0</v>
      </c>
      <c r="L452" s="277">
        <v>0</v>
      </c>
      <c r="M452" s="277">
        <v>781.164</v>
      </c>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row>
    <row r="453" spans="1:60" ht="38.25" customHeight="1">
      <c r="A453" s="78" t="s">
        <v>802</v>
      </c>
      <c r="B453" s="87" t="s">
        <v>803</v>
      </c>
      <c r="C453" s="78"/>
      <c r="D453" s="78"/>
      <c r="E453" s="78"/>
      <c r="F453" s="78"/>
      <c r="G453" s="78"/>
      <c r="H453" s="78"/>
      <c r="I453" s="78"/>
      <c r="J453" s="236">
        <f aca="true" t="shared" si="26" ref="J453:M454">J454</f>
        <v>693.2897</v>
      </c>
      <c r="K453" s="236">
        <f t="shared" si="26"/>
        <v>693.2897</v>
      </c>
      <c r="L453" s="236">
        <f t="shared" si="26"/>
        <v>0</v>
      </c>
      <c r="M453" s="236">
        <f t="shared" si="26"/>
        <v>0</v>
      </c>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row>
    <row r="454" spans="1:60" ht="26.25" customHeight="1">
      <c r="A454" s="4"/>
      <c r="B454" s="11"/>
      <c r="C454" s="2"/>
      <c r="D454" s="2"/>
      <c r="E454" s="106" t="s">
        <v>68</v>
      </c>
      <c r="F454" s="4"/>
      <c r="G454" s="234"/>
      <c r="H454" s="105"/>
      <c r="I454" s="233"/>
      <c r="J454" s="213">
        <f t="shared" si="26"/>
        <v>693.2897</v>
      </c>
      <c r="K454" s="213">
        <f t="shared" si="26"/>
        <v>693.2897</v>
      </c>
      <c r="L454" s="213">
        <f t="shared" si="26"/>
        <v>0</v>
      </c>
      <c r="M454" s="213">
        <f t="shared" si="26"/>
        <v>0</v>
      </c>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row>
    <row r="455" spans="1:60" ht="107.25" customHeight="1">
      <c r="A455" s="4"/>
      <c r="B455" s="11" t="s">
        <v>805</v>
      </c>
      <c r="C455" s="2" t="s">
        <v>425</v>
      </c>
      <c r="D455" s="2" t="s">
        <v>9</v>
      </c>
      <c r="E455" s="2" t="s">
        <v>804</v>
      </c>
      <c r="F455" s="4">
        <v>240</v>
      </c>
      <c r="G455" s="126" t="s">
        <v>947</v>
      </c>
      <c r="H455" s="105" t="s">
        <v>311</v>
      </c>
      <c r="I455" s="233" t="s">
        <v>840</v>
      </c>
      <c r="J455" s="213">
        <v>693.2897</v>
      </c>
      <c r="K455" s="213">
        <v>693.2897</v>
      </c>
      <c r="L455" s="213">
        <v>0</v>
      </c>
      <c r="M455" s="213">
        <v>0</v>
      </c>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row>
    <row r="456" spans="1:60" ht="34.5" customHeight="1">
      <c r="A456" s="37" t="s">
        <v>580</v>
      </c>
      <c r="B456" s="38" t="s">
        <v>581</v>
      </c>
      <c r="C456" s="42"/>
      <c r="D456" s="42"/>
      <c r="E456" s="42"/>
      <c r="F456" s="42"/>
      <c r="G456" s="42"/>
      <c r="H456" s="42"/>
      <c r="I456" s="42"/>
      <c r="J456" s="211">
        <f>J457+J471+J522+J512+J501+J490+J486+J526</f>
        <v>72406.99922</v>
      </c>
      <c r="K456" s="211">
        <f>K457+K471+K522+K512+K501+K490+K486+K526</f>
        <v>72406.99922</v>
      </c>
      <c r="L456" s="211">
        <f>L457+L471+L522+L512+L501+L490+L486+L526</f>
        <v>64022.81076</v>
      </c>
      <c r="M456" s="211">
        <f>M457+M471+M522+M512+M501+M490+M486+M526</f>
        <v>59604.53028</v>
      </c>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row>
    <row r="457" spans="1:60" ht="73.5" customHeight="1">
      <c r="A457" s="78" t="s">
        <v>582</v>
      </c>
      <c r="B457" s="87" t="s">
        <v>583</v>
      </c>
      <c r="C457" s="78"/>
      <c r="D457" s="78"/>
      <c r="E457" s="78"/>
      <c r="F457" s="78"/>
      <c r="G457" s="78"/>
      <c r="H457" s="78"/>
      <c r="I457" s="78"/>
      <c r="J457" s="212">
        <f>J463+J458+J467</f>
        <v>406.08135</v>
      </c>
      <c r="K457" s="212">
        <f>K463+K458+K467</f>
        <v>406.08135</v>
      </c>
      <c r="L457" s="212">
        <f>L463+L458+L467</f>
        <v>270.00255999999996</v>
      </c>
      <c r="M457" s="212">
        <f>M463+M458+M467</f>
        <v>270.00255999999996</v>
      </c>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row>
    <row r="458" spans="1:60" ht="30" customHeight="1">
      <c r="A458" s="2"/>
      <c r="B458" s="175" t="s">
        <v>113</v>
      </c>
      <c r="C458" s="2"/>
      <c r="D458" s="2"/>
      <c r="E458" s="168" t="s">
        <v>64</v>
      </c>
      <c r="F458" s="2"/>
      <c r="G458" s="105"/>
      <c r="H458" s="105"/>
      <c r="I458" s="105"/>
      <c r="J458" s="213">
        <f aca="true" t="shared" si="27" ref="J458:M459">J459</f>
        <v>172.96044999999998</v>
      </c>
      <c r="K458" s="213">
        <f t="shared" si="27"/>
        <v>172.96044999999998</v>
      </c>
      <c r="L458" s="213">
        <f t="shared" si="27"/>
        <v>212.40256</v>
      </c>
      <c r="M458" s="213">
        <f t="shared" si="27"/>
        <v>212.40256</v>
      </c>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row>
    <row r="459" spans="1:60" ht="30" customHeight="1">
      <c r="A459" s="2"/>
      <c r="B459" s="167" t="s">
        <v>295</v>
      </c>
      <c r="C459" s="2"/>
      <c r="D459" s="2"/>
      <c r="E459" s="168" t="s">
        <v>296</v>
      </c>
      <c r="F459" s="2"/>
      <c r="G459" s="105"/>
      <c r="H459" s="105"/>
      <c r="I459" s="105"/>
      <c r="J459" s="213">
        <f t="shared" si="27"/>
        <v>172.96044999999998</v>
      </c>
      <c r="K459" s="213">
        <f t="shared" si="27"/>
        <v>172.96044999999998</v>
      </c>
      <c r="L459" s="213">
        <f t="shared" si="27"/>
        <v>212.40256</v>
      </c>
      <c r="M459" s="213">
        <f t="shared" si="27"/>
        <v>212.40256</v>
      </c>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row>
    <row r="460" spans="1:60" ht="30" customHeight="1">
      <c r="A460" s="2"/>
      <c r="B460" s="167" t="s">
        <v>603</v>
      </c>
      <c r="C460" s="2"/>
      <c r="D460" s="2"/>
      <c r="E460" s="168" t="s">
        <v>604</v>
      </c>
      <c r="F460" s="2"/>
      <c r="G460" s="105"/>
      <c r="H460" s="105"/>
      <c r="I460" s="105"/>
      <c r="J460" s="213">
        <f>J461+J462</f>
        <v>172.96044999999998</v>
      </c>
      <c r="K460" s="213">
        <f>K461+K462</f>
        <v>172.96044999999998</v>
      </c>
      <c r="L460" s="213">
        <f>L461+L462</f>
        <v>212.40256</v>
      </c>
      <c r="M460" s="213">
        <f>M461+M462</f>
        <v>212.40256</v>
      </c>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row>
    <row r="461" spans="1:60" ht="174.75" customHeight="1">
      <c r="A461" s="2"/>
      <c r="B461" s="12" t="s">
        <v>627</v>
      </c>
      <c r="C461" s="2" t="s">
        <v>425</v>
      </c>
      <c r="D461" s="2" t="s">
        <v>329</v>
      </c>
      <c r="E461" s="2" t="s">
        <v>628</v>
      </c>
      <c r="F461" s="2" t="s">
        <v>38</v>
      </c>
      <c r="G461" s="131" t="s">
        <v>690</v>
      </c>
      <c r="H461" s="105" t="s">
        <v>629</v>
      </c>
      <c r="I461" s="105" t="s">
        <v>630</v>
      </c>
      <c r="J461" s="215">
        <f>108.90256-35.01774</f>
        <v>73.88481999999999</v>
      </c>
      <c r="K461" s="215">
        <f>108.90256-35.01774</f>
        <v>73.88481999999999</v>
      </c>
      <c r="L461" s="215">
        <v>108.90256</v>
      </c>
      <c r="M461" s="215">
        <v>108.90256</v>
      </c>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row>
    <row r="462" spans="1:60" ht="78" customHeight="1">
      <c r="A462" s="2"/>
      <c r="B462" s="12" t="s">
        <v>614</v>
      </c>
      <c r="C462" s="2" t="s">
        <v>425</v>
      </c>
      <c r="D462" s="2" t="s">
        <v>329</v>
      </c>
      <c r="E462" s="168" t="s">
        <v>613</v>
      </c>
      <c r="F462" s="10" t="s">
        <v>38</v>
      </c>
      <c r="G462" s="131" t="s">
        <v>687</v>
      </c>
      <c r="H462" s="105" t="s">
        <v>331</v>
      </c>
      <c r="I462" s="105" t="s">
        <v>615</v>
      </c>
      <c r="J462" s="215">
        <f>203.5-129.362-13.01237+37.95</f>
        <v>99.07563</v>
      </c>
      <c r="K462" s="215">
        <f>203.5-129.362-13.01237+37.95</f>
        <v>99.07563</v>
      </c>
      <c r="L462" s="215">
        <f>203.5-100</f>
        <v>103.5</v>
      </c>
      <c r="M462" s="215">
        <v>103.5</v>
      </c>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row>
    <row r="463" spans="1:60" ht="45" customHeight="1">
      <c r="A463" s="2"/>
      <c r="B463" s="167" t="s">
        <v>234</v>
      </c>
      <c r="C463" s="2"/>
      <c r="D463" s="2"/>
      <c r="E463" s="168" t="s">
        <v>54</v>
      </c>
      <c r="F463" s="2"/>
      <c r="G463" s="105"/>
      <c r="H463" s="105"/>
      <c r="I463" s="105"/>
      <c r="J463" s="213">
        <f>J464</f>
        <v>18.051000000000002</v>
      </c>
      <c r="K463" s="213">
        <f>K464</f>
        <v>18.051000000000002</v>
      </c>
      <c r="L463" s="213">
        <f>L464</f>
        <v>43.900000000000006</v>
      </c>
      <c r="M463" s="213">
        <f>M464</f>
        <v>43.900000000000006</v>
      </c>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row>
    <row r="464" spans="1:60" ht="45" customHeight="1">
      <c r="A464" s="2"/>
      <c r="B464" s="167" t="s">
        <v>456</v>
      </c>
      <c r="C464" s="2"/>
      <c r="D464" s="2"/>
      <c r="E464" s="2" t="s">
        <v>459</v>
      </c>
      <c r="F464" s="2"/>
      <c r="G464" s="105"/>
      <c r="H464" s="105"/>
      <c r="I464" s="105"/>
      <c r="J464" s="213">
        <f>J465+J466</f>
        <v>18.051000000000002</v>
      </c>
      <c r="K464" s="213">
        <f>K465+K466</f>
        <v>18.051000000000002</v>
      </c>
      <c r="L464" s="213">
        <f>L465+L466</f>
        <v>43.900000000000006</v>
      </c>
      <c r="M464" s="213">
        <f>M465+M466</f>
        <v>43.900000000000006</v>
      </c>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row>
    <row r="465" spans="1:60" ht="125.25" customHeight="1">
      <c r="A465" s="21"/>
      <c r="B465" s="6" t="s">
        <v>584</v>
      </c>
      <c r="C465" s="2" t="s">
        <v>425</v>
      </c>
      <c r="D465" s="2" t="s">
        <v>41</v>
      </c>
      <c r="E465" s="4" t="s">
        <v>585</v>
      </c>
      <c r="F465" s="4">
        <v>240</v>
      </c>
      <c r="G465" s="126" t="s">
        <v>685</v>
      </c>
      <c r="H465" s="2" t="s">
        <v>311</v>
      </c>
      <c r="I465" s="105" t="s">
        <v>586</v>
      </c>
      <c r="J465" s="213">
        <f>26.8-25.849</f>
        <v>0.9510000000000005</v>
      </c>
      <c r="K465" s="213">
        <f>26.8-25.849</f>
        <v>0.9510000000000005</v>
      </c>
      <c r="L465" s="213">
        <v>26.8</v>
      </c>
      <c r="M465" s="213">
        <v>26.8</v>
      </c>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row>
    <row r="466" spans="1:60" ht="59.25" customHeight="1">
      <c r="A466" s="21"/>
      <c r="B466" s="167" t="s">
        <v>617</v>
      </c>
      <c r="C466" s="2" t="s">
        <v>425</v>
      </c>
      <c r="D466" s="2" t="s">
        <v>103</v>
      </c>
      <c r="E466" s="2" t="s">
        <v>616</v>
      </c>
      <c r="F466" s="2" t="s">
        <v>38</v>
      </c>
      <c r="G466" s="3" t="s">
        <v>688</v>
      </c>
      <c r="H466" s="2" t="s">
        <v>104</v>
      </c>
      <c r="I466" s="2" t="s">
        <v>620</v>
      </c>
      <c r="J466" s="213">
        <v>17.1</v>
      </c>
      <c r="K466" s="213">
        <v>17.1</v>
      </c>
      <c r="L466" s="213">
        <v>17.1</v>
      </c>
      <c r="M466" s="213">
        <v>17.1</v>
      </c>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row>
    <row r="467" spans="1:60" ht="59.25" customHeight="1">
      <c r="A467" s="21"/>
      <c r="B467" s="12" t="s">
        <v>722</v>
      </c>
      <c r="C467" s="27"/>
      <c r="D467" s="2"/>
      <c r="E467" s="2" t="s">
        <v>590</v>
      </c>
      <c r="F467" s="2"/>
      <c r="G467" s="126"/>
      <c r="H467" s="5"/>
      <c r="I467" s="184"/>
      <c r="J467" s="213">
        <f>J469+J468+J470</f>
        <v>215.06990000000002</v>
      </c>
      <c r="K467" s="213">
        <f>K469+K468+K470</f>
        <v>215.06990000000002</v>
      </c>
      <c r="L467" s="213">
        <f>L469+L468+L470</f>
        <v>13.7</v>
      </c>
      <c r="M467" s="213">
        <f>M469+M468+M470</f>
        <v>13.7</v>
      </c>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row>
    <row r="468" spans="1:60" ht="93" customHeight="1">
      <c r="A468" s="2"/>
      <c r="B468" s="90" t="s">
        <v>720</v>
      </c>
      <c r="C468" s="261" t="s">
        <v>716</v>
      </c>
      <c r="D468" s="1" t="s">
        <v>9</v>
      </c>
      <c r="E468" s="1" t="s">
        <v>721</v>
      </c>
      <c r="F468" s="2" t="s">
        <v>38</v>
      </c>
      <c r="G468" s="126" t="s">
        <v>952</v>
      </c>
      <c r="H468" s="5" t="s">
        <v>955</v>
      </c>
      <c r="I468" s="210" t="s">
        <v>951</v>
      </c>
      <c r="J468" s="213">
        <f>143.9673+2.9</f>
        <v>146.8673</v>
      </c>
      <c r="K468" s="213">
        <f>143.9673+2.9</f>
        <v>146.8673</v>
      </c>
      <c r="L468" s="213">
        <v>0</v>
      </c>
      <c r="M468" s="277">
        <v>0</v>
      </c>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row>
    <row r="469" spans="1:60" ht="207.75" customHeight="1">
      <c r="A469" s="21"/>
      <c r="B469" s="12" t="s">
        <v>723</v>
      </c>
      <c r="C469" s="224" t="s">
        <v>716</v>
      </c>
      <c r="D469" s="2" t="s">
        <v>9</v>
      </c>
      <c r="E469" s="2" t="s">
        <v>724</v>
      </c>
      <c r="F469" s="2" t="s">
        <v>38</v>
      </c>
      <c r="G469" s="126" t="s">
        <v>948</v>
      </c>
      <c r="H469" s="4" t="s">
        <v>725</v>
      </c>
      <c r="I469" s="100" t="s">
        <v>949</v>
      </c>
      <c r="J469" s="213">
        <f>13.7-5.4033+0.142</f>
        <v>8.438699999999999</v>
      </c>
      <c r="K469" s="213">
        <f>13.7-5.4033+0.142</f>
        <v>8.438699999999999</v>
      </c>
      <c r="L469" s="213">
        <v>13.7</v>
      </c>
      <c r="M469" s="213">
        <v>13.7</v>
      </c>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row>
    <row r="470" spans="1:60" ht="211.5" customHeight="1">
      <c r="A470" s="2"/>
      <c r="B470" s="7" t="s">
        <v>726</v>
      </c>
      <c r="C470" s="261" t="s">
        <v>716</v>
      </c>
      <c r="D470" s="2" t="s">
        <v>41</v>
      </c>
      <c r="E470" s="2" t="s">
        <v>727</v>
      </c>
      <c r="F470" s="2" t="s">
        <v>38</v>
      </c>
      <c r="G470" s="126" t="s">
        <v>950</v>
      </c>
      <c r="H470" s="5" t="s">
        <v>654</v>
      </c>
      <c r="I470" s="184" t="s">
        <v>728</v>
      </c>
      <c r="J470" s="213">
        <f>60-0.2361</f>
        <v>59.7639</v>
      </c>
      <c r="K470" s="213">
        <f>60-0.2361</f>
        <v>59.7639</v>
      </c>
      <c r="L470" s="213">
        <v>0</v>
      </c>
      <c r="M470" s="213">
        <v>0</v>
      </c>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row>
    <row r="471" spans="1:60" ht="60" customHeight="1">
      <c r="A471" s="78" t="s">
        <v>588</v>
      </c>
      <c r="B471" s="87" t="s">
        <v>589</v>
      </c>
      <c r="C471" s="78"/>
      <c r="D471" s="78"/>
      <c r="E471" s="78"/>
      <c r="F471" s="78"/>
      <c r="G471" s="78"/>
      <c r="H471" s="78"/>
      <c r="I471" s="78"/>
      <c r="J471" s="212">
        <f>J481+J472+J477</f>
        <v>3036.65265</v>
      </c>
      <c r="K471" s="212">
        <f>K481+K472+K477</f>
        <v>3036.65265</v>
      </c>
      <c r="L471" s="212">
        <f>L481+L472+L477</f>
        <v>3139.5974400000005</v>
      </c>
      <c r="M471" s="212">
        <f>M481+M472+M477</f>
        <v>2993.49744</v>
      </c>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row>
    <row r="472" spans="1:60" ht="30" customHeight="1">
      <c r="A472" s="2"/>
      <c r="B472" s="175" t="s">
        <v>113</v>
      </c>
      <c r="C472" s="2"/>
      <c r="D472" s="2"/>
      <c r="E472" s="168" t="s">
        <v>64</v>
      </c>
      <c r="F472" s="2"/>
      <c r="G472" s="2"/>
      <c r="H472" s="2"/>
      <c r="I472" s="2"/>
      <c r="J472" s="213">
        <f aca="true" t="shared" si="28" ref="J472:M473">J473</f>
        <v>2145.13955</v>
      </c>
      <c r="K472" s="213">
        <f t="shared" si="28"/>
        <v>2145.13955</v>
      </c>
      <c r="L472" s="213">
        <f t="shared" si="28"/>
        <v>2083.59744</v>
      </c>
      <c r="M472" s="213">
        <f t="shared" si="28"/>
        <v>2083.59744</v>
      </c>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row>
    <row r="473" spans="1:60" ht="30" customHeight="1">
      <c r="A473" s="2"/>
      <c r="B473" s="167" t="s">
        <v>295</v>
      </c>
      <c r="C473" s="2"/>
      <c r="D473" s="2"/>
      <c r="E473" s="168" t="s">
        <v>296</v>
      </c>
      <c r="F473" s="2"/>
      <c r="G473" s="2"/>
      <c r="H473" s="2"/>
      <c r="I473" s="2"/>
      <c r="J473" s="213">
        <f t="shared" si="28"/>
        <v>2145.13955</v>
      </c>
      <c r="K473" s="213">
        <f t="shared" si="28"/>
        <v>2145.13955</v>
      </c>
      <c r="L473" s="213">
        <f t="shared" si="28"/>
        <v>2083.59744</v>
      </c>
      <c r="M473" s="213">
        <f t="shared" si="28"/>
        <v>2083.59744</v>
      </c>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row>
    <row r="474" spans="1:60" ht="30" customHeight="1">
      <c r="A474" s="2"/>
      <c r="B474" s="167" t="s">
        <v>603</v>
      </c>
      <c r="C474" s="2"/>
      <c r="D474" s="2"/>
      <c r="E474" s="168" t="s">
        <v>604</v>
      </c>
      <c r="F474" s="2"/>
      <c r="G474" s="2"/>
      <c r="H474" s="2"/>
      <c r="I474" s="2"/>
      <c r="J474" s="213">
        <f>J475+J476</f>
        <v>2145.13955</v>
      </c>
      <c r="K474" s="213">
        <f>K475+K476</f>
        <v>2145.13955</v>
      </c>
      <c r="L474" s="213">
        <f>L475+L476</f>
        <v>2083.59744</v>
      </c>
      <c r="M474" s="213">
        <f>M475+M476</f>
        <v>2083.59744</v>
      </c>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row>
    <row r="475" spans="1:60" ht="171" customHeight="1">
      <c r="A475" s="2"/>
      <c r="B475" s="12" t="s">
        <v>627</v>
      </c>
      <c r="C475" s="2" t="s">
        <v>425</v>
      </c>
      <c r="D475" s="2" t="s">
        <v>329</v>
      </c>
      <c r="E475" s="2" t="s">
        <v>628</v>
      </c>
      <c r="F475" s="2" t="s">
        <v>37</v>
      </c>
      <c r="G475" s="27" t="s">
        <v>690</v>
      </c>
      <c r="H475" s="2" t="s">
        <v>629</v>
      </c>
      <c r="I475" s="2" t="s">
        <v>630</v>
      </c>
      <c r="J475" s="215">
        <f>235.79744+38.21774</f>
        <v>274.01518</v>
      </c>
      <c r="K475" s="215">
        <f>235.79744+38.21774</f>
        <v>274.01518</v>
      </c>
      <c r="L475" s="215">
        <v>235.79744</v>
      </c>
      <c r="M475" s="215">
        <v>235.79744</v>
      </c>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row>
    <row r="476" spans="1:60" ht="71.25" customHeight="1">
      <c r="A476" s="2"/>
      <c r="B476" s="12" t="s">
        <v>614</v>
      </c>
      <c r="C476" s="2" t="s">
        <v>425</v>
      </c>
      <c r="D476" s="2" t="s">
        <v>329</v>
      </c>
      <c r="E476" s="168" t="s">
        <v>613</v>
      </c>
      <c r="F476" s="10" t="s">
        <v>37</v>
      </c>
      <c r="G476" s="27" t="s">
        <v>687</v>
      </c>
      <c r="H476" s="2" t="s">
        <v>331</v>
      </c>
      <c r="I476" s="2" t="s">
        <v>615</v>
      </c>
      <c r="J476" s="215">
        <f>1747.8+129.362+13.01237-19.05</f>
        <v>1871.12437</v>
      </c>
      <c r="K476" s="215">
        <f>1747.8+129.362+13.01237-19.05</f>
        <v>1871.12437</v>
      </c>
      <c r="L476" s="223">
        <f>1747.8+100</f>
        <v>1847.8</v>
      </c>
      <c r="M476" s="223">
        <f>1747.8+100</f>
        <v>1847.8</v>
      </c>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row>
    <row r="477" spans="1:60" ht="45" customHeight="1">
      <c r="A477" s="2"/>
      <c r="B477" s="167" t="s">
        <v>234</v>
      </c>
      <c r="C477" s="2"/>
      <c r="D477" s="2"/>
      <c r="E477" s="168" t="s">
        <v>54</v>
      </c>
      <c r="F477" s="10"/>
      <c r="G477" s="2"/>
      <c r="H477" s="2"/>
      <c r="I477" s="2"/>
      <c r="J477" s="215">
        <f aca="true" t="shared" si="29" ref="J477:M478">J478</f>
        <v>85.021</v>
      </c>
      <c r="K477" s="215">
        <f t="shared" si="29"/>
        <v>85.021</v>
      </c>
      <c r="L477" s="215">
        <f t="shared" si="29"/>
        <v>58.3</v>
      </c>
      <c r="M477" s="215">
        <f t="shared" si="29"/>
        <v>58.3</v>
      </c>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row>
    <row r="478" spans="1:60" ht="45" customHeight="1">
      <c r="A478" s="2"/>
      <c r="B478" s="167" t="s">
        <v>456</v>
      </c>
      <c r="C478" s="2"/>
      <c r="D478" s="2"/>
      <c r="E478" s="2" t="s">
        <v>459</v>
      </c>
      <c r="F478" s="10"/>
      <c r="G478" s="2"/>
      <c r="H478" s="2"/>
      <c r="I478" s="2"/>
      <c r="J478" s="215">
        <f>J479+J480</f>
        <v>85.021</v>
      </c>
      <c r="K478" s="215">
        <f>K479+K480</f>
        <v>85.021</v>
      </c>
      <c r="L478" s="215">
        <f t="shared" si="29"/>
        <v>58.3</v>
      </c>
      <c r="M478" s="215">
        <f t="shared" si="29"/>
        <v>58.3</v>
      </c>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row>
    <row r="479" spans="1:60" ht="133.5" customHeight="1">
      <c r="A479" s="2"/>
      <c r="B479" s="167" t="s">
        <v>618</v>
      </c>
      <c r="C479" s="2" t="s">
        <v>425</v>
      </c>
      <c r="D479" s="2" t="s">
        <v>103</v>
      </c>
      <c r="E479" s="2" t="s">
        <v>619</v>
      </c>
      <c r="F479" s="2" t="s">
        <v>37</v>
      </c>
      <c r="G479" s="9" t="s">
        <v>689</v>
      </c>
      <c r="H479" s="5" t="s">
        <v>621</v>
      </c>
      <c r="I479" s="5" t="s">
        <v>622</v>
      </c>
      <c r="J479" s="213">
        <f>58.3+0.6</f>
        <v>58.9</v>
      </c>
      <c r="K479" s="213">
        <f>58.3+0.6</f>
        <v>58.9</v>
      </c>
      <c r="L479" s="213">
        <v>58.3</v>
      </c>
      <c r="M479" s="213">
        <v>58.3</v>
      </c>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row>
    <row r="480" spans="1:60" ht="110.25" customHeight="1">
      <c r="A480" s="2"/>
      <c r="B480" s="6" t="s">
        <v>584</v>
      </c>
      <c r="C480" s="2" t="s">
        <v>425</v>
      </c>
      <c r="D480" s="2" t="s">
        <v>41</v>
      </c>
      <c r="E480" s="4" t="s">
        <v>585</v>
      </c>
      <c r="F480" s="2" t="s">
        <v>37</v>
      </c>
      <c r="G480" s="126" t="s">
        <v>685</v>
      </c>
      <c r="H480" s="2" t="s">
        <v>311</v>
      </c>
      <c r="I480" s="105" t="s">
        <v>586</v>
      </c>
      <c r="J480" s="213">
        <f>25.849+0.272</f>
        <v>26.121</v>
      </c>
      <c r="K480" s="213">
        <f>25.849+0.272</f>
        <v>26.121</v>
      </c>
      <c r="L480" s="213">
        <v>0</v>
      </c>
      <c r="M480" s="213">
        <v>0</v>
      </c>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row>
    <row r="481" spans="1:60" ht="45" customHeight="1">
      <c r="A481" s="2"/>
      <c r="B481" s="7" t="s">
        <v>591</v>
      </c>
      <c r="C481" s="2"/>
      <c r="D481" s="2"/>
      <c r="E481" s="2" t="s">
        <v>590</v>
      </c>
      <c r="F481" s="10"/>
      <c r="G481" s="169"/>
      <c r="H481" s="2"/>
      <c r="I481" s="2"/>
      <c r="J481" s="213">
        <f>J483+J484+J485+J482</f>
        <v>806.4920999999999</v>
      </c>
      <c r="K481" s="213">
        <f>K483+K484+K485+K482</f>
        <v>806.4920999999999</v>
      </c>
      <c r="L481" s="213">
        <f>L483+L484+L485+L482</f>
        <v>997.7</v>
      </c>
      <c r="M481" s="213">
        <f>M483+M484+M485+M482</f>
        <v>851.6</v>
      </c>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row>
    <row r="482" spans="1:60" ht="207.75" customHeight="1">
      <c r="A482" s="21"/>
      <c r="B482" s="12" t="s">
        <v>723</v>
      </c>
      <c r="C482" s="261" t="s">
        <v>716</v>
      </c>
      <c r="D482" s="2" t="s">
        <v>9</v>
      </c>
      <c r="E482" s="2" t="s">
        <v>724</v>
      </c>
      <c r="F482" s="2" t="s">
        <v>37</v>
      </c>
      <c r="G482" s="126" t="s">
        <v>948</v>
      </c>
      <c r="H482" s="4" t="s">
        <v>725</v>
      </c>
      <c r="I482" s="100" t="s">
        <v>949</v>
      </c>
      <c r="J482" s="213">
        <v>5.4033</v>
      </c>
      <c r="K482" s="213">
        <v>5.4033</v>
      </c>
      <c r="L482" s="213">
        <v>0</v>
      </c>
      <c r="M482" s="213">
        <v>0</v>
      </c>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row>
    <row r="483" spans="1:60" ht="75.75" customHeight="1">
      <c r="A483" s="2"/>
      <c r="B483" s="7" t="s">
        <v>593</v>
      </c>
      <c r="C483" s="2" t="s">
        <v>424</v>
      </c>
      <c r="D483" s="2" t="s">
        <v>332</v>
      </c>
      <c r="E483" s="2" t="s">
        <v>592</v>
      </c>
      <c r="F483" s="10" t="s">
        <v>37</v>
      </c>
      <c r="G483" s="9" t="s">
        <v>686</v>
      </c>
      <c r="H483" s="2" t="s">
        <v>594</v>
      </c>
      <c r="I483" s="2" t="s">
        <v>595</v>
      </c>
      <c r="J483" s="213">
        <f>81.4+0.82</f>
        <v>82.22</v>
      </c>
      <c r="K483" s="213">
        <f>81.4+0.82</f>
        <v>82.22</v>
      </c>
      <c r="L483" s="213">
        <v>81.4</v>
      </c>
      <c r="M483" s="213">
        <v>81.4</v>
      </c>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row>
    <row r="484" spans="1:60" ht="211.5" customHeight="1">
      <c r="A484" s="2"/>
      <c r="B484" s="7" t="s">
        <v>726</v>
      </c>
      <c r="C484" s="209" t="s">
        <v>716</v>
      </c>
      <c r="D484" s="2" t="s">
        <v>41</v>
      </c>
      <c r="E484" s="2" t="s">
        <v>727</v>
      </c>
      <c r="F484" s="2" t="s">
        <v>37</v>
      </c>
      <c r="G484" s="126" t="s">
        <v>950</v>
      </c>
      <c r="H484" s="5" t="s">
        <v>654</v>
      </c>
      <c r="I484" s="184" t="s">
        <v>728</v>
      </c>
      <c r="J484" s="213">
        <f>624.1-60+0.2361+6.3</f>
        <v>570.6360999999999</v>
      </c>
      <c r="K484" s="213">
        <f>624.1-60+0.2361+6.3</f>
        <v>570.6360999999999</v>
      </c>
      <c r="L484" s="213">
        <v>624.1</v>
      </c>
      <c r="M484" s="213">
        <v>624.1</v>
      </c>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row>
    <row r="485" spans="1:60" ht="93" customHeight="1">
      <c r="A485" s="2"/>
      <c r="B485" s="90" t="s">
        <v>720</v>
      </c>
      <c r="C485" s="209" t="s">
        <v>716</v>
      </c>
      <c r="D485" s="1" t="s">
        <v>9</v>
      </c>
      <c r="E485" s="1" t="s">
        <v>721</v>
      </c>
      <c r="F485" s="2" t="s">
        <v>37</v>
      </c>
      <c r="G485" s="126" t="s">
        <v>952</v>
      </c>
      <c r="H485" s="5" t="s">
        <v>955</v>
      </c>
      <c r="I485" s="210" t="s">
        <v>951</v>
      </c>
      <c r="J485" s="213">
        <f>292.2-143.9673</f>
        <v>148.2327</v>
      </c>
      <c r="K485" s="213">
        <f>292.2-143.9673</f>
        <v>148.2327</v>
      </c>
      <c r="L485" s="213">
        <f>292.2</f>
        <v>292.2</v>
      </c>
      <c r="M485" s="277">
        <f>146.1</f>
        <v>146.1</v>
      </c>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row>
    <row r="486" spans="1:13" ht="60" customHeight="1">
      <c r="A486" s="78" t="s">
        <v>713</v>
      </c>
      <c r="B486" s="87" t="s">
        <v>714</v>
      </c>
      <c r="C486" s="78"/>
      <c r="D486" s="78"/>
      <c r="E486" s="78"/>
      <c r="F486" s="78"/>
      <c r="G486" s="78"/>
      <c r="H486" s="78"/>
      <c r="I486" s="78"/>
      <c r="J486" s="212">
        <f>J487</f>
        <v>14860.08122</v>
      </c>
      <c r="K486" s="212">
        <f>K487</f>
        <v>14860.08122</v>
      </c>
      <c r="L486" s="212">
        <f>L487</f>
        <v>17516.10876</v>
      </c>
      <c r="M486" s="212">
        <f>M487</f>
        <v>17010.65628</v>
      </c>
    </row>
    <row r="487" spans="1:13" ht="49.5" customHeight="1">
      <c r="A487" s="2"/>
      <c r="B487" s="11" t="s">
        <v>182</v>
      </c>
      <c r="C487" s="2"/>
      <c r="D487" s="2"/>
      <c r="E487" s="2" t="s">
        <v>70</v>
      </c>
      <c r="F487" s="2"/>
      <c r="G487" s="25"/>
      <c r="H487" s="57"/>
      <c r="I487" s="57"/>
      <c r="J487" s="213">
        <f>J488+J489</f>
        <v>14860.08122</v>
      </c>
      <c r="K487" s="213">
        <f>K488+K489</f>
        <v>14860.08122</v>
      </c>
      <c r="L487" s="213">
        <f>L488+L489</f>
        <v>17516.10876</v>
      </c>
      <c r="M487" s="213">
        <f>M488+M489</f>
        <v>17010.65628</v>
      </c>
    </row>
    <row r="488" spans="1:13" ht="49.5" customHeight="1">
      <c r="A488" s="2"/>
      <c r="B488" s="12" t="s">
        <v>715</v>
      </c>
      <c r="C488" s="183" t="s">
        <v>716</v>
      </c>
      <c r="D488" s="2" t="s">
        <v>9</v>
      </c>
      <c r="E488" s="2" t="s">
        <v>717</v>
      </c>
      <c r="F488" s="2" t="s">
        <v>38</v>
      </c>
      <c r="G488" s="333" t="s">
        <v>956</v>
      </c>
      <c r="H488" s="334" t="s">
        <v>953</v>
      </c>
      <c r="I488" s="334" t="s">
        <v>954</v>
      </c>
      <c r="J488" s="213">
        <v>644.30426</v>
      </c>
      <c r="K488" s="213">
        <v>644.30426</v>
      </c>
      <c r="L488" s="213">
        <v>715.64508</v>
      </c>
      <c r="M488" s="213">
        <v>210.1926</v>
      </c>
    </row>
    <row r="489" spans="1:13" ht="105" customHeight="1">
      <c r="A489" s="2"/>
      <c r="B489" s="12" t="s">
        <v>718</v>
      </c>
      <c r="C489" s="183" t="s">
        <v>716</v>
      </c>
      <c r="D489" s="2" t="s">
        <v>658</v>
      </c>
      <c r="E489" s="2" t="s">
        <v>719</v>
      </c>
      <c r="F489" s="2" t="s">
        <v>112</v>
      </c>
      <c r="G489" s="333"/>
      <c r="H489" s="334"/>
      <c r="I489" s="334"/>
      <c r="J489" s="213">
        <v>14215.77696</v>
      </c>
      <c r="K489" s="213">
        <v>14215.77696</v>
      </c>
      <c r="L489" s="213">
        <v>16800.46368</v>
      </c>
      <c r="M489" s="213">
        <v>16800.46368</v>
      </c>
    </row>
    <row r="490" spans="1:60" ht="340.5" customHeight="1">
      <c r="A490" s="78" t="s">
        <v>660</v>
      </c>
      <c r="B490" s="116" t="s">
        <v>659</v>
      </c>
      <c r="C490" s="78"/>
      <c r="D490" s="78"/>
      <c r="E490" s="78"/>
      <c r="F490" s="78"/>
      <c r="G490" s="78"/>
      <c r="H490" s="78"/>
      <c r="I490" s="78"/>
      <c r="J490" s="212">
        <f>J491+J497</f>
        <v>13517.982</v>
      </c>
      <c r="K490" s="212">
        <f>K491+K497</f>
        <v>13517.982</v>
      </c>
      <c r="L490" s="212">
        <f>L491+L497</f>
        <v>16135.922999999999</v>
      </c>
      <c r="M490" s="212">
        <f>M491+M497</f>
        <v>12605.394999999999</v>
      </c>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row>
    <row r="491" spans="1:60" ht="30" customHeight="1">
      <c r="A491" s="2"/>
      <c r="B491" s="12" t="s">
        <v>273</v>
      </c>
      <c r="C491" s="2"/>
      <c r="D491" s="2"/>
      <c r="E491" s="2" t="s">
        <v>74</v>
      </c>
      <c r="F491" s="10"/>
      <c r="G491" s="4"/>
      <c r="H491" s="2"/>
      <c r="I491" s="2"/>
      <c r="J491" s="213">
        <f>J492</f>
        <v>11896.25</v>
      </c>
      <c r="K491" s="213">
        <f>K492</f>
        <v>11896.25</v>
      </c>
      <c r="L491" s="213">
        <f>L492</f>
        <v>12016.199999999999</v>
      </c>
      <c r="M491" s="213">
        <f>M492</f>
        <v>12299.8</v>
      </c>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row>
    <row r="492" spans="1:60" ht="90" customHeight="1">
      <c r="A492" s="2"/>
      <c r="B492" s="12" t="s">
        <v>650</v>
      </c>
      <c r="C492" s="2"/>
      <c r="D492" s="2"/>
      <c r="E492" s="2" t="s">
        <v>651</v>
      </c>
      <c r="F492" s="10"/>
      <c r="G492" s="4"/>
      <c r="H492" s="2"/>
      <c r="I492" s="2"/>
      <c r="J492" s="213">
        <f>J493+J494+J495+J496</f>
        <v>11896.25</v>
      </c>
      <c r="K492" s="213">
        <f>K493+K494+K495+K496</f>
        <v>11896.25</v>
      </c>
      <c r="L492" s="213">
        <f>L493+L494+L495+L496</f>
        <v>12016.199999999999</v>
      </c>
      <c r="M492" s="213">
        <f>M493+M494+M495+M496</f>
        <v>12299.8</v>
      </c>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row>
    <row r="493" spans="1:60" ht="65.25" customHeight="1">
      <c r="A493" s="2"/>
      <c r="B493" s="330" t="s">
        <v>661</v>
      </c>
      <c r="C493" s="2" t="s">
        <v>427</v>
      </c>
      <c r="D493" s="2" t="s">
        <v>11</v>
      </c>
      <c r="E493" s="2" t="s">
        <v>662</v>
      </c>
      <c r="F493" s="10" t="s">
        <v>264</v>
      </c>
      <c r="G493" s="335" t="s">
        <v>958</v>
      </c>
      <c r="H493" s="353" t="s">
        <v>663</v>
      </c>
      <c r="I493" s="353" t="s">
        <v>957</v>
      </c>
      <c r="J493" s="223">
        <f>850+91.1+36.601</f>
        <v>977.701</v>
      </c>
      <c r="K493" s="223">
        <f>850+91.1+36.601</f>
        <v>977.701</v>
      </c>
      <c r="L493" s="223">
        <v>850</v>
      </c>
      <c r="M493" s="223">
        <v>850</v>
      </c>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row>
    <row r="494" spans="1:60" ht="87" customHeight="1">
      <c r="A494" s="2"/>
      <c r="B494" s="308"/>
      <c r="C494" s="2" t="s">
        <v>427</v>
      </c>
      <c r="D494" s="2" t="s">
        <v>11</v>
      </c>
      <c r="E494" s="2" t="s">
        <v>662</v>
      </c>
      <c r="F494" s="10" t="s">
        <v>42</v>
      </c>
      <c r="G494" s="336"/>
      <c r="H494" s="353"/>
      <c r="I494" s="353"/>
      <c r="J494" s="223">
        <f>1330.4-91.1-36.601</f>
        <v>1202.699</v>
      </c>
      <c r="K494" s="223">
        <f>1330.4-91.1-36.601</f>
        <v>1202.699</v>
      </c>
      <c r="L494" s="223">
        <v>1330.4</v>
      </c>
      <c r="M494" s="223">
        <v>1330.4</v>
      </c>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row>
    <row r="495" spans="1:60" ht="66" customHeight="1">
      <c r="A495" s="2"/>
      <c r="B495" s="306" t="s">
        <v>664</v>
      </c>
      <c r="C495" s="2" t="s">
        <v>427</v>
      </c>
      <c r="D495" s="2" t="s">
        <v>11</v>
      </c>
      <c r="E495" s="10" t="s">
        <v>665</v>
      </c>
      <c r="F495" s="10" t="s">
        <v>264</v>
      </c>
      <c r="G495" s="335" t="s">
        <v>961</v>
      </c>
      <c r="H495" s="301" t="s">
        <v>960</v>
      </c>
      <c r="I495" s="301" t="s">
        <v>959</v>
      </c>
      <c r="J495" s="223">
        <f>400+62.5+218.95</f>
        <v>681.45</v>
      </c>
      <c r="K495" s="223">
        <f>400+62.5+218.95</f>
        <v>681.45</v>
      </c>
      <c r="L495" s="219">
        <v>450</v>
      </c>
      <c r="M495" s="223">
        <v>500</v>
      </c>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row>
    <row r="496" spans="1:60" ht="60" customHeight="1">
      <c r="A496" s="2"/>
      <c r="B496" s="308"/>
      <c r="C496" s="2" t="s">
        <v>427</v>
      </c>
      <c r="D496" s="2" t="s">
        <v>11</v>
      </c>
      <c r="E496" s="10" t="s">
        <v>665</v>
      </c>
      <c r="F496" s="10" t="s">
        <v>42</v>
      </c>
      <c r="G496" s="285"/>
      <c r="H496" s="302"/>
      <c r="I496" s="302"/>
      <c r="J496" s="223">
        <v>9034.4</v>
      </c>
      <c r="K496" s="223">
        <v>9034.4</v>
      </c>
      <c r="L496" s="219">
        <v>9385.8</v>
      </c>
      <c r="M496" s="223">
        <v>9619.4</v>
      </c>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row>
    <row r="497" spans="1:60" ht="45" customHeight="1">
      <c r="A497" s="2"/>
      <c r="B497" s="50" t="s">
        <v>390</v>
      </c>
      <c r="C497" s="2"/>
      <c r="D497" s="105"/>
      <c r="E497" s="177" t="s">
        <v>68</v>
      </c>
      <c r="F497" s="10"/>
      <c r="G497" s="178"/>
      <c r="H497" s="177"/>
      <c r="I497" s="177"/>
      <c r="J497" s="215">
        <f>J499+J498+J500</f>
        <v>1621.732</v>
      </c>
      <c r="K497" s="215">
        <f>K499+K498+K500</f>
        <v>1621.732</v>
      </c>
      <c r="L497" s="215">
        <f>L499+L498+L500</f>
        <v>4119.723</v>
      </c>
      <c r="M497" s="215">
        <f>M499+M498+M500</f>
        <v>305.595</v>
      </c>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row>
    <row r="498" spans="1:60" ht="45" customHeight="1">
      <c r="A498" s="2"/>
      <c r="B498" s="148" t="s">
        <v>666</v>
      </c>
      <c r="C498" s="2" t="s">
        <v>427</v>
      </c>
      <c r="D498" s="2" t="s">
        <v>329</v>
      </c>
      <c r="E498" s="10" t="s">
        <v>667</v>
      </c>
      <c r="F498" s="10" t="s">
        <v>806</v>
      </c>
      <c r="G498" s="324" t="s">
        <v>963</v>
      </c>
      <c r="H498" s="345" t="s">
        <v>955</v>
      </c>
      <c r="I498" s="290" t="s">
        <v>962</v>
      </c>
      <c r="J498" s="223">
        <f>11.5+1.5</f>
        <v>13</v>
      </c>
      <c r="K498" s="223">
        <f>11.5+1.5</f>
        <v>13</v>
      </c>
      <c r="L498" s="223">
        <v>37.8</v>
      </c>
      <c r="M498" s="223">
        <v>0</v>
      </c>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row>
    <row r="499" spans="1:60" ht="101.25" customHeight="1">
      <c r="A499" s="2"/>
      <c r="B499" s="148" t="s">
        <v>666</v>
      </c>
      <c r="C499" s="2" t="s">
        <v>427</v>
      </c>
      <c r="D499" s="2" t="s">
        <v>11</v>
      </c>
      <c r="E499" s="10" t="s">
        <v>667</v>
      </c>
      <c r="F499" s="10" t="s">
        <v>264</v>
      </c>
      <c r="G499" s="326"/>
      <c r="H499" s="346"/>
      <c r="I499" s="292"/>
      <c r="J499" s="223">
        <f>1153.878+149.259</f>
        <v>1303.137</v>
      </c>
      <c r="K499" s="223">
        <f>1153.878+149.259</f>
        <v>1303.137</v>
      </c>
      <c r="L499" s="219">
        <v>3776.328</v>
      </c>
      <c r="M499" s="223">
        <v>0</v>
      </c>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row>
    <row r="500" spans="1:60" ht="164.25" customHeight="1">
      <c r="A500" s="2"/>
      <c r="B500" s="148" t="s">
        <v>823</v>
      </c>
      <c r="C500" s="2" t="s">
        <v>4</v>
      </c>
      <c r="D500" s="2" t="s">
        <v>11</v>
      </c>
      <c r="E500" s="10" t="s">
        <v>822</v>
      </c>
      <c r="F500" s="10" t="s">
        <v>40</v>
      </c>
      <c r="G500" s="126" t="s">
        <v>964</v>
      </c>
      <c r="H500" s="4" t="s">
        <v>311</v>
      </c>
      <c r="I500" s="100" t="s">
        <v>965</v>
      </c>
      <c r="J500" s="223">
        <v>305.595</v>
      </c>
      <c r="K500" s="223">
        <v>305.595</v>
      </c>
      <c r="L500" s="223">
        <v>305.595</v>
      </c>
      <c r="M500" s="223">
        <v>305.595</v>
      </c>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row>
    <row r="501" spans="1:60" ht="390" customHeight="1">
      <c r="A501" s="78" t="s">
        <v>655</v>
      </c>
      <c r="B501" s="87" t="s">
        <v>656</v>
      </c>
      <c r="C501" s="78"/>
      <c r="D501" s="78"/>
      <c r="E501" s="78"/>
      <c r="F501" s="78"/>
      <c r="G501" s="78"/>
      <c r="H501" s="78"/>
      <c r="I501" s="78"/>
      <c r="J501" s="212">
        <f aca="true" t="shared" si="30" ref="J501:M503">J502</f>
        <v>4954.7</v>
      </c>
      <c r="K501" s="212">
        <f t="shared" si="30"/>
        <v>4954.7</v>
      </c>
      <c r="L501" s="212">
        <f t="shared" si="30"/>
        <v>5644</v>
      </c>
      <c r="M501" s="212">
        <f t="shared" si="30"/>
        <v>5407.8</v>
      </c>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row>
    <row r="502" spans="1:60" ht="38.25" customHeight="1">
      <c r="A502" s="2"/>
      <c r="B502" s="12" t="s">
        <v>273</v>
      </c>
      <c r="C502" s="2"/>
      <c r="D502" s="2"/>
      <c r="E502" s="2" t="s">
        <v>74</v>
      </c>
      <c r="F502" s="2"/>
      <c r="G502" s="2"/>
      <c r="H502" s="106"/>
      <c r="I502" s="106"/>
      <c r="J502" s="213">
        <f t="shared" si="30"/>
        <v>4954.7</v>
      </c>
      <c r="K502" s="213">
        <f t="shared" si="30"/>
        <v>4954.7</v>
      </c>
      <c r="L502" s="213">
        <f t="shared" si="30"/>
        <v>5644</v>
      </c>
      <c r="M502" s="213">
        <f t="shared" si="30"/>
        <v>5407.8</v>
      </c>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row>
    <row r="503" spans="1:60" ht="42" customHeight="1">
      <c r="A503" s="2"/>
      <c r="B503" s="12" t="s">
        <v>274</v>
      </c>
      <c r="C503" s="2"/>
      <c r="D503" s="2"/>
      <c r="E503" s="2" t="s">
        <v>91</v>
      </c>
      <c r="F503" s="10"/>
      <c r="G503" s="2"/>
      <c r="H503" s="106"/>
      <c r="I503" s="106"/>
      <c r="J503" s="213">
        <f t="shared" si="30"/>
        <v>4954.7</v>
      </c>
      <c r="K503" s="213">
        <f t="shared" si="30"/>
        <v>4954.7</v>
      </c>
      <c r="L503" s="213">
        <f t="shared" si="30"/>
        <v>5644</v>
      </c>
      <c r="M503" s="213">
        <f t="shared" si="30"/>
        <v>5407.8</v>
      </c>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row>
    <row r="504" spans="1:60" ht="75.75" customHeight="1">
      <c r="A504" s="2"/>
      <c r="B504" s="12" t="s">
        <v>650</v>
      </c>
      <c r="C504" s="2"/>
      <c r="D504" s="2"/>
      <c r="E504" s="2" t="s">
        <v>651</v>
      </c>
      <c r="F504" s="10"/>
      <c r="G504" s="2"/>
      <c r="H504" s="106"/>
      <c r="I504" s="106"/>
      <c r="J504" s="213">
        <f>J505+J506+J509+J510+J511+J507+J508</f>
        <v>4954.7</v>
      </c>
      <c r="K504" s="213">
        <f>K505+K506+K509+K510+K511+K507+K508</f>
        <v>4954.7</v>
      </c>
      <c r="L504" s="213">
        <f>L505+L506+L509+L510+L511+L507+L508</f>
        <v>5644</v>
      </c>
      <c r="M504" s="213">
        <f>M505+M506+M509+M510+M511+M507+M508</f>
        <v>5407.8</v>
      </c>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row>
    <row r="505" spans="1:60" ht="22.5" customHeight="1">
      <c r="A505" s="290"/>
      <c r="B505" s="330" t="s">
        <v>657</v>
      </c>
      <c r="C505" s="2" t="s">
        <v>427</v>
      </c>
      <c r="D505" s="2" t="s">
        <v>12</v>
      </c>
      <c r="E505" s="2" t="s">
        <v>354</v>
      </c>
      <c r="F505" s="10" t="s">
        <v>187</v>
      </c>
      <c r="G505" s="314" t="s">
        <v>968</v>
      </c>
      <c r="H505" s="301" t="s">
        <v>966</v>
      </c>
      <c r="I505" s="301" t="s">
        <v>967</v>
      </c>
      <c r="J505" s="277">
        <v>0</v>
      </c>
      <c r="K505" s="277">
        <v>0</v>
      </c>
      <c r="L505" s="277">
        <v>0</v>
      </c>
      <c r="M505" s="277">
        <v>0</v>
      </c>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row>
    <row r="506" spans="1:60" ht="22.5" customHeight="1">
      <c r="A506" s="291"/>
      <c r="B506" s="307"/>
      <c r="C506" s="2" t="s">
        <v>427</v>
      </c>
      <c r="D506" s="2" t="s">
        <v>12</v>
      </c>
      <c r="E506" s="2" t="s">
        <v>354</v>
      </c>
      <c r="F506" s="10" t="s">
        <v>38</v>
      </c>
      <c r="G506" s="329"/>
      <c r="H506" s="329"/>
      <c r="I506" s="329"/>
      <c r="J506" s="277">
        <f>6.1</f>
        <v>6.1</v>
      </c>
      <c r="K506" s="277">
        <f>6.1</f>
        <v>6.1</v>
      </c>
      <c r="L506" s="277">
        <f>68.8-62</f>
        <v>6.799999999999997</v>
      </c>
      <c r="M506" s="277">
        <f>68.5-61</f>
        <v>7.5</v>
      </c>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row>
    <row r="507" spans="1:60" ht="22.5" customHeight="1">
      <c r="A507" s="291"/>
      <c r="B507" s="307"/>
      <c r="C507" s="2" t="s">
        <v>424</v>
      </c>
      <c r="D507" s="2" t="s">
        <v>12</v>
      </c>
      <c r="E507" s="2" t="s">
        <v>354</v>
      </c>
      <c r="F507" s="10" t="s">
        <v>187</v>
      </c>
      <c r="G507" s="329"/>
      <c r="H507" s="329"/>
      <c r="I507" s="329"/>
      <c r="J507" s="213">
        <f>89-83.141</f>
        <v>5.858999999999995</v>
      </c>
      <c r="K507" s="213">
        <f>89-83.141</f>
        <v>5.858999999999995</v>
      </c>
      <c r="L507" s="213">
        <v>102</v>
      </c>
      <c r="M507" s="213">
        <v>96</v>
      </c>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row>
    <row r="508" spans="1:60" ht="22.5" customHeight="1">
      <c r="A508" s="291"/>
      <c r="B508" s="307"/>
      <c r="C508" s="2" t="s">
        <v>424</v>
      </c>
      <c r="D508" s="2" t="s">
        <v>12</v>
      </c>
      <c r="E508" s="2" t="s">
        <v>354</v>
      </c>
      <c r="F508" s="10" t="s">
        <v>38</v>
      </c>
      <c r="G508" s="329"/>
      <c r="H508" s="329"/>
      <c r="I508" s="329"/>
      <c r="J508" s="213">
        <f>55+83.141</f>
        <v>138.14100000000002</v>
      </c>
      <c r="K508" s="213">
        <f>55+83.141</f>
        <v>138.14100000000002</v>
      </c>
      <c r="L508" s="213">
        <v>62</v>
      </c>
      <c r="M508" s="213">
        <v>61</v>
      </c>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row>
    <row r="509" spans="1:60" ht="22.5" customHeight="1">
      <c r="A509" s="291"/>
      <c r="B509" s="307"/>
      <c r="C509" s="2" t="s">
        <v>427</v>
      </c>
      <c r="D509" s="2" t="s">
        <v>658</v>
      </c>
      <c r="E509" s="2" t="s">
        <v>354</v>
      </c>
      <c r="F509" s="10" t="s">
        <v>102</v>
      </c>
      <c r="G509" s="329"/>
      <c r="H509" s="329"/>
      <c r="I509" s="329"/>
      <c r="J509" s="277">
        <v>50</v>
      </c>
      <c r="K509" s="277">
        <v>50</v>
      </c>
      <c r="L509" s="277">
        <v>50</v>
      </c>
      <c r="M509" s="277">
        <v>50</v>
      </c>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row>
    <row r="510" spans="1:60" ht="22.5" customHeight="1">
      <c r="A510" s="291"/>
      <c r="B510" s="307"/>
      <c r="C510" s="2" t="s">
        <v>427</v>
      </c>
      <c r="D510" s="2" t="s">
        <v>658</v>
      </c>
      <c r="E510" s="2" t="s">
        <v>354</v>
      </c>
      <c r="F510" s="10" t="s">
        <v>42</v>
      </c>
      <c r="G510" s="329"/>
      <c r="H510" s="329"/>
      <c r="I510" s="329"/>
      <c r="J510" s="277">
        <v>3140</v>
      </c>
      <c r="K510" s="277">
        <v>3140</v>
      </c>
      <c r="L510" s="277">
        <v>3670</v>
      </c>
      <c r="M510" s="277">
        <v>3460</v>
      </c>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row>
    <row r="511" spans="1:60" ht="22.5" customHeight="1">
      <c r="A511" s="292"/>
      <c r="B511" s="308"/>
      <c r="C511" s="2" t="s">
        <v>427</v>
      </c>
      <c r="D511" s="2" t="s">
        <v>658</v>
      </c>
      <c r="E511" s="2" t="s">
        <v>354</v>
      </c>
      <c r="F511" s="10" t="s">
        <v>276</v>
      </c>
      <c r="G511" s="285"/>
      <c r="H511" s="285"/>
      <c r="I511" s="285"/>
      <c r="J511" s="277">
        <v>1614.6</v>
      </c>
      <c r="K511" s="277">
        <v>1614.6</v>
      </c>
      <c r="L511" s="277">
        <v>1753.2</v>
      </c>
      <c r="M511" s="277">
        <v>1733.3</v>
      </c>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row>
    <row r="512" spans="1:60" ht="195" customHeight="1">
      <c r="A512" s="78" t="s">
        <v>649</v>
      </c>
      <c r="B512" s="87" t="s">
        <v>648</v>
      </c>
      <c r="C512" s="78"/>
      <c r="D512" s="78"/>
      <c r="E512" s="78"/>
      <c r="F512" s="78"/>
      <c r="G512" s="78"/>
      <c r="H512" s="78"/>
      <c r="I512" s="78"/>
      <c r="J512" s="212">
        <f aca="true" t="shared" si="31" ref="J512:M514">J513</f>
        <v>6267.6</v>
      </c>
      <c r="K512" s="212">
        <f t="shared" si="31"/>
        <v>6267.6</v>
      </c>
      <c r="L512" s="212">
        <f t="shared" si="31"/>
        <v>6267.6</v>
      </c>
      <c r="M512" s="212">
        <f t="shared" si="31"/>
        <v>6267.6</v>
      </c>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row>
    <row r="513" spans="1:60" ht="30" customHeight="1">
      <c r="A513" s="2"/>
      <c r="B513" s="12" t="s">
        <v>273</v>
      </c>
      <c r="C513" s="106"/>
      <c r="D513" s="106"/>
      <c r="E513" s="106" t="s">
        <v>74</v>
      </c>
      <c r="F513" s="2"/>
      <c r="G513" s="2"/>
      <c r="H513" s="2"/>
      <c r="I513" s="2"/>
      <c r="J513" s="213">
        <f t="shared" si="31"/>
        <v>6267.6</v>
      </c>
      <c r="K513" s="213">
        <f t="shared" si="31"/>
        <v>6267.6</v>
      </c>
      <c r="L513" s="213">
        <f t="shared" si="31"/>
        <v>6267.6</v>
      </c>
      <c r="M513" s="213">
        <f t="shared" si="31"/>
        <v>6267.6</v>
      </c>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row>
    <row r="514" spans="1:60" ht="30" customHeight="1">
      <c r="A514" s="2"/>
      <c r="B514" s="12" t="s">
        <v>274</v>
      </c>
      <c r="C514" s="2"/>
      <c r="D514" s="2"/>
      <c r="E514" s="2" t="s">
        <v>91</v>
      </c>
      <c r="F514" s="2"/>
      <c r="G514" s="2"/>
      <c r="H514" s="2"/>
      <c r="I514" s="2"/>
      <c r="J514" s="213">
        <f t="shared" si="31"/>
        <v>6267.6</v>
      </c>
      <c r="K514" s="213">
        <f t="shared" si="31"/>
        <v>6267.6</v>
      </c>
      <c r="L514" s="213">
        <f t="shared" si="31"/>
        <v>6267.6</v>
      </c>
      <c r="M514" s="213">
        <f t="shared" si="31"/>
        <v>6267.6</v>
      </c>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row>
    <row r="515" spans="1:60" ht="80.25" customHeight="1">
      <c r="A515" s="2"/>
      <c r="B515" s="12" t="s">
        <v>650</v>
      </c>
      <c r="C515" s="2"/>
      <c r="D515" s="2"/>
      <c r="E515" s="10" t="s">
        <v>651</v>
      </c>
      <c r="F515" s="2"/>
      <c r="G515" s="4"/>
      <c r="H515" s="5"/>
      <c r="I515" s="5"/>
      <c r="J515" s="213">
        <f>J519+J516+J517+J518+J521+J520</f>
        <v>6267.6</v>
      </c>
      <c r="K515" s="213">
        <f>K519+K516+K517+K518+K521+K520</f>
        <v>6267.6</v>
      </c>
      <c r="L515" s="213">
        <f>L519+L516+L517+L518+L521</f>
        <v>6267.6</v>
      </c>
      <c r="M515" s="213">
        <f>M519+M516+M517+M518+M521</f>
        <v>6267.6</v>
      </c>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row>
    <row r="516" spans="1:60" ht="17.25" customHeight="1">
      <c r="A516" s="290"/>
      <c r="B516" s="298" t="s">
        <v>653</v>
      </c>
      <c r="C516" s="106" t="s">
        <v>427</v>
      </c>
      <c r="D516" s="2" t="s">
        <v>329</v>
      </c>
      <c r="E516" s="394" t="s">
        <v>652</v>
      </c>
      <c r="F516" s="2" t="s">
        <v>38</v>
      </c>
      <c r="G516" s="314" t="s">
        <v>969</v>
      </c>
      <c r="H516" s="301" t="s">
        <v>654</v>
      </c>
      <c r="I516" s="301" t="s">
        <v>970</v>
      </c>
      <c r="J516" s="277">
        <f>100-4.6+3</f>
        <v>98.4</v>
      </c>
      <c r="K516" s="277">
        <f>100-4.6+3</f>
        <v>98.4</v>
      </c>
      <c r="L516" s="277">
        <v>100</v>
      </c>
      <c r="M516" s="277">
        <v>100</v>
      </c>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row>
    <row r="517" spans="1:60" ht="15.75" customHeight="1">
      <c r="A517" s="291"/>
      <c r="B517" s="339"/>
      <c r="C517" s="106" t="s">
        <v>427</v>
      </c>
      <c r="D517" s="2" t="s">
        <v>43</v>
      </c>
      <c r="E517" s="395"/>
      <c r="F517" s="2" t="s">
        <v>38</v>
      </c>
      <c r="G517" s="315"/>
      <c r="H517" s="313"/>
      <c r="I517" s="313"/>
      <c r="J517" s="277">
        <f>1100+504.6+35</f>
        <v>1639.6</v>
      </c>
      <c r="K517" s="277">
        <f>1100+504.6+35</f>
        <v>1639.6</v>
      </c>
      <c r="L517" s="277">
        <v>1100</v>
      </c>
      <c r="M517" s="277">
        <v>1100</v>
      </c>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row>
    <row r="518" spans="1:60" ht="15.75" customHeight="1">
      <c r="A518" s="291"/>
      <c r="B518" s="339"/>
      <c r="C518" s="106" t="s">
        <v>427</v>
      </c>
      <c r="D518" s="2" t="s">
        <v>43</v>
      </c>
      <c r="E518" s="395"/>
      <c r="F518" s="2" t="s">
        <v>264</v>
      </c>
      <c r="G518" s="315"/>
      <c r="H518" s="313"/>
      <c r="I518" s="313"/>
      <c r="J518" s="277">
        <f>522-35</f>
        <v>487</v>
      </c>
      <c r="K518" s="277">
        <f>522-35</f>
        <v>487</v>
      </c>
      <c r="L518" s="277">
        <v>522</v>
      </c>
      <c r="M518" s="277">
        <v>522</v>
      </c>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row>
    <row r="519" spans="1:60" ht="15.75" customHeight="1">
      <c r="A519" s="291"/>
      <c r="B519" s="339"/>
      <c r="C519" s="106" t="s">
        <v>427</v>
      </c>
      <c r="D519" s="2" t="s">
        <v>43</v>
      </c>
      <c r="E519" s="395"/>
      <c r="F519" s="2" t="s">
        <v>42</v>
      </c>
      <c r="G519" s="315"/>
      <c r="H519" s="313"/>
      <c r="I519" s="313"/>
      <c r="J519" s="277">
        <f>6267.6-2622-290.7</f>
        <v>3354.9000000000005</v>
      </c>
      <c r="K519" s="277">
        <f>6267.6-2622-290.7</f>
        <v>3354.9000000000005</v>
      </c>
      <c r="L519" s="277">
        <f>6267.6-2622</f>
        <v>3645.6000000000004</v>
      </c>
      <c r="M519" s="277">
        <f>6267.6-2622</f>
        <v>3645.6000000000004</v>
      </c>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row>
    <row r="520" spans="1:60" ht="15.75" customHeight="1">
      <c r="A520" s="291"/>
      <c r="B520" s="339"/>
      <c r="C520" s="106" t="s">
        <v>427</v>
      </c>
      <c r="D520" s="2" t="s">
        <v>43</v>
      </c>
      <c r="E520" s="395"/>
      <c r="F520" s="2" t="s">
        <v>276</v>
      </c>
      <c r="G520" s="315"/>
      <c r="H520" s="313"/>
      <c r="I520" s="313"/>
      <c r="J520" s="277">
        <v>290.7</v>
      </c>
      <c r="K520" s="277">
        <v>290.7</v>
      </c>
      <c r="L520" s="277">
        <v>0</v>
      </c>
      <c r="M520" s="277">
        <v>0</v>
      </c>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row>
    <row r="521" spans="1:60" ht="30.75" customHeight="1">
      <c r="A521" s="292"/>
      <c r="B521" s="299"/>
      <c r="C521" s="106" t="s">
        <v>427</v>
      </c>
      <c r="D521" s="2" t="s">
        <v>43</v>
      </c>
      <c r="E521" s="396"/>
      <c r="F521" s="2" t="s">
        <v>40</v>
      </c>
      <c r="G521" s="316"/>
      <c r="H521" s="302"/>
      <c r="I521" s="302"/>
      <c r="J521" s="277">
        <f>900-500-3</f>
        <v>397</v>
      </c>
      <c r="K521" s="277">
        <f>900-500-3</f>
        <v>397</v>
      </c>
      <c r="L521" s="277">
        <v>900</v>
      </c>
      <c r="M521" s="277">
        <v>900</v>
      </c>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row>
    <row r="522" spans="1:60" ht="210" customHeight="1">
      <c r="A522" s="78" t="s">
        <v>623</v>
      </c>
      <c r="B522" s="87" t="s">
        <v>624</v>
      </c>
      <c r="C522" s="78"/>
      <c r="D522" s="78"/>
      <c r="E522" s="78"/>
      <c r="F522" s="78"/>
      <c r="G522" s="78"/>
      <c r="H522" s="78"/>
      <c r="I522" s="78"/>
      <c r="J522" s="212">
        <f aca="true" t="shared" si="32" ref="J522:M524">J523</f>
        <v>647.8</v>
      </c>
      <c r="K522" s="212">
        <f t="shared" si="32"/>
        <v>647.8</v>
      </c>
      <c r="L522" s="212">
        <f t="shared" si="32"/>
        <v>647.8</v>
      </c>
      <c r="M522" s="212">
        <f t="shared" si="32"/>
        <v>647.8</v>
      </c>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row>
    <row r="523" spans="1:60" ht="45" customHeight="1">
      <c r="A523" s="2"/>
      <c r="B523" s="167" t="s">
        <v>234</v>
      </c>
      <c r="C523" s="2"/>
      <c r="D523" s="2"/>
      <c r="E523" s="168" t="s">
        <v>54</v>
      </c>
      <c r="F523" s="2"/>
      <c r="G523" s="4"/>
      <c r="H523" s="5"/>
      <c r="I523" s="5"/>
      <c r="J523" s="213">
        <f>J524</f>
        <v>647.8</v>
      </c>
      <c r="K523" s="213">
        <f>K524</f>
        <v>647.8</v>
      </c>
      <c r="L523" s="213">
        <f>L524</f>
        <v>647.8</v>
      </c>
      <c r="M523" s="213">
        <f>M524</f>
        <v>647.8</v>
      </c>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row>
    <row r="524" spans="1:60" ht="45" customHeight="1">
      <c r="A524" s="2"/>
      <c r="B524" s="167" t="s">
        <v>456</v>
      </c>
      <c r="C524" s="2"/>
      <c r="D524" s="2"/>
      <c r="E524" s="2" t="s">
        <v>459</v>
      </c>
      <c r="F524" s="2"/>
      <c r="G524" s="4"/>
      <c r="H524" s="5"/>
      <c r="I524" s="5"/>
      <c r="J524" s="213">
        <f t="shared" si="32"/>
        <v>647.8</v>
      </c>
      <c r="K524" s="213">
        <f t="shared" si="32"/>
        <v>647.8</v>
      </c>
      <c r="L524" s="213">
        <f t="shared" si="32"/>
        <v>647.8</v>
      </c>
      <c r="M524" s="213">
        <f t="shared" si="32"/>
        <v>647.8</v>
      </c>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row>
    <row r="525" spans="1:60" ht="114.75" customHeight="1">
      <c r="A525" s="2"/>
      <c r="B525" s="167" t="s">
        <v>625</v>
      </c>
      <c r="C525" s="2" t="s">
        <v>425</v>
      </c>
      <c r="D525" s="2" t="s">
        <v>41</v>
      </c>
      <c r="E525" s="168" t="s">
        <v>626</v>
      </c>
      <c r="F525" s="2" t="s">
        <v>38</v>
      </c>
      <c r="G525" s="131" t="s">
        <v>971</v>
      </c>
      <c r="H525" s="2" t="s">
        <v>311</v>
      </c>
      <c r="I525" s="105" t="s">
        <v>972</v>
      </c>
      <c r="J525" s="213">
        <v>647.8</v>
      </c>
      <c r="K525" s="213">
        <v>647.8</v>
      </c>
      <c r="L525" s="213">
        <v>647.8</v>
      </c>
      <c r="M525" s="213">
        <v>647.8</v>
      </c>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row>
    <row r="526" spans="1:60" ht="124.5" customHeight="1">
      <c r="A526" s="78" t="s">
        <v>809</v>
      </c>
      <c r="B526" s="87" t="s">
        <v>810</v>
      </c>
      <c r="C526" s="78"/>
      <c r="D526" s="78"/>
      <c r="E526" s="78"/>
      <c r="F526" s="78"/>
      <c r="G526" s="78"/>
      <c r="H526" s="78"/>
      <c r="I526" s="78"/>
      <c r="J526" s="212">
        <f aca="true" t="shared" si="33" ref="J526:M527">J527</f>
        <v>28716.102000000003</v>
      </c>
      <c r="K526" s="212">
        <f t="shared" si="33"/>
        <v>28716.102000000003</v>
      </c>
      <c r="L526" s="212">
        <f t="shared" si="33"/>
        <v>14401.779</v>
      </c>
      <c r="M526" s="212">
        <f t="shared" si="33"/>
        <v>14401.779</v>
      </c>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row>
    <row r="527" spans="1:60" ht="35.25" customHeight="1">
      <c r="A527" s="106"/>
      <c r="B527" s="237" t="s">
        <v>249</v>
      </c>
      <c r="C527" s="106"/>
      <c r="D527" s="106"/>
      <c r="E527" s="106" t="s">
        <v>63</v>
      </c>
      <c r="F527" s="106"/>
      <c r="G527" s="106"/>
      <c r="H527" s="106"/>
      <c r="I527" s="106"/>
      <c r="J527" s="238">
        <f t="shared" si="33"/>
        <v>28716.102000000003</v>
      </c>
      <c r="K527" s="238">
        <f t="shared" si="33"/>
        <v>28716.102000000003</v>
      </c>
      <c r="L527" s="238">
        <f t="shared" si="33"/>
        <v>14401.779</v>
      </c>
      <c r="M527" s="238">
        <f t="shared" si="33"/>
        <v>14401.779</v>
      </c>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row>
    <row r="528" spans="1:60" ht="111" customHeight="1">
      <c r="A528" s="2"/>
      <c r="B528" s="167" t="s">
        <v>812</v>
      </c>
      <c r="C528" s="106" t="s">
        <v>427</v>
      </c>
      <c r="D528" s="2" t="s">
        <v>11</v>
      </c>
      <c r="E528" s="10" t="s">
        <v>811</v>
      </c>
      <c r="F528" s="2" t="s">
        <v>264</v>
      </c>
      <c r="G528" s="27" t="s">
        <v>974</v>
      </c>
      <c r="H528" s="2" t="s">
        <v>311</v>
      </c>
      <c r="I528" s="2" t="s">
        <v>973</v>
      </c>
      <c r="J528" s="277">
        <f>16513.991+12202.111</f>
        <v>28716.102000000003</v>
      </c>
      <c r="K528" s="277">
        <f>16513.991+12202.111</f>
        <v>28716.102000000003</v>
      </c>
      <c r="L528" s="277">
        <v>14401.779</v>
      </c>
      <c r="M528" s="277">
        <v>14401.779</v>
      </c>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row>
    <row r="529" spans="1:60" ht="71.25" customHeight="1">
      <c r="A529" s="37" t="s">
        <v>143</v>
      </c>
      <c r="B529" s="38" t="s">
        <v>145</v>
      </c>
      <c r="C529" s="42"/>
      <c r="D529" s="37"/>
      <c r="E529" s="37"/>
      <c r="F529" s="37"/>
      <c r="G529" s="43"/>
      <c r="H529" s="42"/>
      <c r="I529" s="42"/>
      <c r="J529" s="211">
        <f>J530+J535</f>
        <v>374657.45999999996</v>
      </c>
      <c r="K529" s="211">
        <f>K530+K535</f>
        <v>374657.45999999996</v>
      </c>
      <c r="L529" s="211">
        <f>L530+L535</f>
        <v>375109.9</v>
      </c>
      <c r="M529" s="211">
        <f>M530+M535</f>
        <v>373560.80000000005</v>
      </c>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row>
    <row r="530" spans="1:60" ht="300" customHeight="1">
      <c r="A530" s="78" t="s">
        <v>144</v>
      </c>
      <c r="B530" s="87" t="s">
        <v>146</v>
      </c>
      <c r="C530" s="78"/>
      <c r="D530" s="78"/>
      <c r="E530" s="78"/>
      <c r="F530" s="78"/>
      <c r="G530" s="78"/>
      <c r="H530" s="78"/>
      <c r="I530" s="78"/>
      <c r="J530" s="212">
        <f>J531</f>
        <v>219902.37600000002</v>
      </c>
      <c r="K530" s="212">
        <f>K531</f>
        <v>219902.37600000002</v>
      </c>
      <c r="L530" s="212">
        <f>L531</f>
        <v>220898.30000000002</v>
      </c>
      <c r="M530" s="212">
        <f>M531</f>
        <v>221857.6</v>
      </c>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row>
    <row r="531" spans="1:60" ht="30" customHeight="1">
      <c r="A531" s="106"/>
      <c r="B531" s="12" t="s">
        <v>273</v>
      </c>
      <c r="C531" s="106"/>
      <c r="D531" s="106"/>
      <c r="E531" s="106" t="s">
        <v>786</v>
      </c>
      <c r="F531" s="106"/>
      <c r="G531" s="106"/>
      <c r="H531" s="106"/>
      <c r="I531" s="106"/>
      <c r="J531" s="277">
        <f>J532+J534+J533</f>
        <v>219902.37600000002</v>
      </c>
      <c r="K531" s="277">
        <f>K532+K534+K533</f>
        <v>219902.37600000002</v>
      </c>
      <c r="L531" s="277">
        <f>L532+L534+L533</f>
        <v>220898.30000000002</v>
      </c>
      <c r="M531" s="277">
        <f>M532+M534+M533</f>
        <v>221857.6</v>
      </c>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row>
    <row r="532" spans="1:60" ht="30.75" customHeight="1">
      <c r="A532" s="106"/>
      <c r="B532" s="331" t="s">
        <v>691</v>
      </c>
      <c r="C532" s="106" t="s">
        <v>427</v>
      </c>
      <c r="D532" s="106" t="s">
        <v>73</v>
      </c>
      <c r="E532" s="135" t="s">
        <v>354</v>
      </c>
      <c r="F532" s="106" t="s">
        <v>42</v>
      </c>
      <c r="G532" s="314" t="s">
        <v>977</v>
      </c>
      <c r="H532" s="301" t="s">
        <v>976</v>
      </c>
      <c r="I532" s="301" t="s">
        <v>975</v>
      </c>
      <c r="J532" s="277">
        <v>196587.676</v>
      </c>
      <c r="K532" s="277">
        <v>196587.676</v>
      </c>
      <c r="L532" s="277">
        <v>197583.6</v>
      </c>
      <c r="M532" s="277">
        <v>198542.9</v>
      </c>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row>
    <row r="533" spans="1:60" ht="30.75" customHeight="1">
      <c r="A533" s="106"/>
      <c r="B533" s="332"/>
      <c r="C533" s="106" t="s">
        <v>424</v>
      </c>
      <c r="D533" s="106" t="s">
        <v>73</v>
      </c>
      <c r="E533" s="135" t="s">
        <v>354</v>
      </c>
      <c r="F533" s="106" t="s">
        <v>187</v>
      </c>
      <c r="G533" s="315"/>
      <c r="H533" s="313"/>
      <c r="I533" s="313"/>
      <c r="J533" s="277">
        <v>4538.6</v>
      </c>
      <c r="K533" s="277">
        <v>4538.6</v>
      </c>
      <c r="L533" s="277">
        <v>4538.6</v>
      </c>
      <c r="M533" s="277">
        <v>4538.6</v>
      </c>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row>
    <row r="534" spans="1:60" ht="307.5" customHeight="1">
      <c r="A534" s="106"/>
      <c r="B534" s="147" t="s">
        <v>644</v>
      </c>
      <c r="C534" s="106" t="s">
        <v>427</v>
      </c>
      <c r="D534" s="106" t="s">
        <v>73</v>
      </c>
      <c r="E534" s="135" t="s">
        <v>645</v>
      </c>
      <c r="F534" s="106" t="s">
        <v>42</v>
      </c>
      <c r="G534" s="285"/>
      <c r="H534" s="285"/>
      <c r="I534" s="285"/>
      <c r="J534" s="277">
        <f>17967.6+808.5</f>
        <v>18776.1</v>
      </c>
      <c r="K534" s="277">
        <f>17967.6+808.5</f>
        <v>18776.1</v>
      </c>
      <c r="L534" s="277">
        <f>17967.6+808.5</f>
        <v>18776.1</v>
      </c>
      <c r="M534" s="277">
        <f>17967.6+808.5</f>
        <v>18776.1</v>
      </c>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row>
    <row r="535" spans="1:60" ht="300" customHeight="1">
      <c r="A535" s="78" t="s">
        <v>355</v>
      </c>
      <c r="B535" s="87" t="s">
        <v>413</v>
      </c>
      <c r="C535" s="78"/>
      <c r="D535" s="78"/>
      <c r="E535" s="78"/>
      <c r="F535" s="78"/>
      <c r="G535" s="78"/>
      <c r="H535" s="78"/>
      <c r="I535" s="78"/>
      <c r="J535" s="212">
        <f>J536</f>
        <v>154755.08399999997</v>
      </c>
      <c r="K535" s="212">
        <f>K536</f>
        <v>154755.08399999997</v>
      </c>
      <c r="L535" s="212">
        <f>L536</f>
        <v>154211.6</v>
      </c>
      <c r="M535" s="212">
        <f>M536</f>
        <v>151703.2</v>
      </c>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row>
    <row r="536" spans="1:60" ht="30" customHeight="1">
      <c r="A536" s="106"/>
      <c r="B536" s="12" t="s">
        <v>273</v>
      </c>
      <c r="C536" s="179"/>
      <c r="D536" s="159"/>
      <c r="E536" s="159" t="s">
        <v>74</v>
      </c>
      <c r="F536" s="106"/>
      <c r="G536" s="106"/>
      <c r="H536" s="106"/>
      <c r="I536" s="106"/>
      <c r="J536" s="277">
        <f>J537+J539+J540+J538</f>
        <v>154755.08399999997</v>
      </c>
      <c r="K536" s="277">
        <f>K537+K539+K540+K538</f>
        <v>154755.08399999997</v>
      </c>
      <c r="L536" s="277">
        <f>L537+L539+L540+L538</f>
        <v>154211.6</v>
      </c>
      <c r="M536" s="277">
        <f>M537+M539+M540+M538</f>
        <v>151703.2</v>
      </c>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row>
    <row r="537" spans="1:60" ht="93.75" customHeight="1">
      <c r="A537" s="313"/>
      <c r="B537" s="385" t="s">
        <v>353</v>
      </c>
      <c r="C537" s="106" t="s">
        <v>427</v>
      </c>
      <c r="D537" s="106" t="s">
        <v>75</v>
      </c>
      <c r="E537" s="391" t="s">
        <v>354</v>
      </c>
      <c r="F537" s="106" t="s">
        <v>42</v>
      </c>
      <c r="G537" s="314" t="s">
        <v>989</v>
      </c>
      <c r="H537" s="301" t="s">
        <v>990</v>
      </c>
      <c r="I537" s="301" t="s">
        <v>991</v>
      </c>
      <c r="J537" s="223">
        <f>146823.4+2470.917-2302.3-1441.3-54352.82+0.036+2330.8+5925.85764+18.9-4591</f>
        <v>94882.49063999999</v>
      </c>
      <c r="K537" s="223">
        <f>146823.4+2470.917-2302.3-1441.3-54352.82+0.036+2330.8+5925.85764+18.9-4591</f>
        <v>94882.49063999999</v>
      </c>
      <c r="L537" s="277">
        <f>146522.7+3238.647-55794.084-2302.3+2326</f>
        <v>93990.963</v>
      </c>
      <c r="M537" s="277">
        <v>91237.755</v>
      </c>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row>
    <row r="538" spans="1:60" ht="93.75" customHeight="1">
      <c r="A538" s="313"/>
      <c r="B538" s="386"/>
      <c r="C538" s="106" t="s">
        <v>424</v>
      </c>
      <c r="D538" s="106" t="s">
        <v>75</v>
      </c>
      <c r="E538" s="392"/>
      <c r="F538" s="106" t="s">
        <v>187</v>
      </c>
      <c r="G538" s="315"/>
      <c r="H538" s="313"/>
      <c r="I538" s="313"/>
      <c r="J538" s="215">
        <f>1441.3+2302.3</f>
        <v>3743.6000000000004</v>
      </c>
      <c r="K538" s="215">
        <f>1441.3+2302.3</f>
        <v>3743.6000000000004</v>
      </c>
      <c r="L538" s="277">
        <v>3743.6</v>
      </c>
      <c r="M538" s="277">
        <v>3743.6</v>
      </c>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row>
    <row r="539" spans="1:60" ht="93.75" customHeight="1">
      <c r="A539" s="313"/>
      <c r="B539" s="387"/>
      <c r="C539" s="106" t="s">
        <v>427</v>
      </c>
      <c r="D539" s="106" t="s">
        <v>75</v>
      </c>
      <c r="E539" s="392"/>
      <c r="F539" s="106" t="s">
        <v>276</v>
      </c>
      <c r="G539" s="327"/>
      <c r="H539" s="327"/>
      <c r="I539" s="327"/>
      <c r="J539" s="223">
        <f>1241.583+54352.82-0.036-307.87364-18.9</f>
        <v>55267.59336</v>
      </c>
      <c r="K539" s="223">
        <f>1241.583+54352.82-0.036-307.87364-18.9</f>
        <v>55267.59336</v>
      </c>
      <c r="L539" s="277">
        <v>55615.637</v>
      </c>
      <c r="M539" s="277">
        <v>55860.445</v>
      </c>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row>
    <row r="540" spans="1:60" ht="157.5" customHeight="1">
      <c r="A540" s="302"/>
      <c r="B540" s="360"/>
      <c r="C540" s="106" t="s">
        <v>427</v>
      </c>
      <c r="D540" s="106" t="s">
        <v>75</v>
      </c>
      <c r="E540" s="393"/>
      <c r="F540" s="106" t="s">
        <v>40</v>
      </c>
      <c r="G540" s="328"/>
      <c r="H540" s="328"/>
      <c r="I540" s="328"/>
      <c r="J540" s="223">
        <v>861.4</v>
      </c>
      <c r="K540" s="223">
        <v>861.4</v>
      </c>
      <c r="L540" s="277">
        <v>861.4</v>
      </c>
      <c r="M540" s="277">
        <v>861.4</v>
      </c>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row>
    <row r="541" spans="1:60" ht="42.75" customHeight="1">
      <c r="A541" s="37" t="s">
        <v>148</v>
      </c>
      <c r="B541" s="103" t="s">
        <v>147</v>
      </c>
      <c r="C541" s="37"/>
      <c r="D541" s="37"/>
      <c r="E541" s="37"/>
      <c r="F541" s="37"/>
      <c r="G541" s="37"/>
      <c r="H541" s="37"/>
      <c r="I541" s="37"/>
      <c r="J541" s="211">
        <v>0</v>
      </c>
      <c r="K541" s="211">
        <v>0</v>
      </c>
      <c r="L541" s="211">
        <f>10900-0.39749+1174.78384</f>
        <v>12074.38635</v>
      </c>
      <c r="M541" s="211">
        <f>26789.4-451.9-1062.02208-153.67211</f>
        <v>25121.80581</v>
      </c>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row>
    <row r="542" spans="11:60" ht="15" customHeight="1">
      <c r="K542" s="200"/>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row>
    <row r="543" spans="2:60" ht="15.75" customHeight="1">
      <c r="B543" s="140" t="s">
        <v>0</v>
      </c>
      <c r="C543" s="32"/>
      <c r="D543" s="33"/>
      <c r="G543" s="35" t="s">
        <v>3</v>
      </c>
      <c r="K543" s="200"/>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row>
    <row r="544" spans="3:60" ht="15" customHeight="1">
      <c r="C544" s="359" t="s">
        <v>1</v>
      </c>
      <c r="D544" s="359"/>
      <c r="G544" s="36" t="s">
        <v>2</v>
      </c>
      <c r="K544" s="200"/>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row>
    <row r="545" spans="11:60" ht="15" customHeight="1">
      <c r="K545" s="200"/>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row>
    <row r="546" spans="3:60" ht="15" customHeight="1">
      <c r="C546" s="34"/>
      <c r="D546" s="34"/>
      <c r="K546" s="200"/>
      <c r="M546" s="244"/>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row>
    <row r="547" spans="1:60" ht="15.75" customHeight="1">
      <c r="A547" s="8"/>
      <c r="B547" s="358" t="s">
        <v>992</v>
      </c>
      <c r="C547" s="358"/>
      <c r="D547" s="358"/>
      <c r="K547" s="200"/>
      <c r="M547" s="244"/>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row>
    <row r="548" spans="11:60" ht="15" customHeight="1">
      <c r="K548" s="200"/>
      <c r="M548" s="244"/>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row>
    <row r="549" spans="11:60" ht="15" customHeight="1">
      <c r="K549" s="200"/>
      <c r="M549" s="244"/>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row>
    <row r="550" spans="11:60" ht="15" customHeight="1">
      <c r="K550" s="200"/>
      <c r="M550" s="244"/>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row>
    <row r="551" spans="11:60" ht="15" customHeight="1">
      <c r="K551" s="200"/>
      <c r="M551" s="244"/>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row>
    <row r="552" spans="11:60" ht="15" customHeight="1">
      <c r="K552" s="200"/>
      <c r="M552" s="244"/>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row>
    <row r="553" spans="11:60" ht="15" customHeight="1">
      <c r="K553" s="200"/>
      <c r="M553" s="244"/>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row>
    <row r="554" spans="11:60" ht="15" customHeight="1">
      <c r="K554" s="200"/>
      <c r="M554" s="244"/>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row>
    <row r="555" spans="11:60" ht="15" customHeight="1">
      <c r="K555" s="200"/>
      <c r="M555" s="244"/>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row>
    <row r="556" spans="11:60" ht="15" customHeight="1">
      <c r="K556" s="200"/>
      <c r="M556" s="244"/>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row>
    <row r="557" spans="11:60" ht="15" customHeight="1">
      <c r="K557" s="200"/>
      <c r="M557" s="244"/>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row>
    <row r="558" spans="11:60" ht="15" customHeight="1">
      <c r="K558" s="200"/>
      <c r="M558" s="244"/>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row>
    <row r="559" spans="11:60" ht="15" customHeight="1">
      <c r="K559" s="200"/>
      <c r="M559" s="244"/>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row>
    <row r="560" spans="11:60" ht="15" customHeight="1">
      <c r="K560" s="200"/>
      <c r="M560" s="244"/>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row>
    <row r="561" spans="11:60" ht="15" customHeight="1">
      <c r="K561" s="200"/>
      <c r="M561" s="244"/>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row>
    <row r="562" spans="1:60" ht="15" customHeight="1">
      <c r="A562" s="8"/>
      <c r="B562" s="8"/>
      <c r="C562" s="8"/>
      <c r="D562" s="8"/>
      <c r="E562" s="8"/>
      <c r="F562" s="8"/>
      <c r="G562" s="8"/>
      <c r="H562" s="8"/>
      <c r="I562" s="8"/>
      <c r="J562" s="205"/>
      <c r="K562" s="200"/>
      <c r="M562" s="244"/>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row>
    <row r="563" spans="1:60" ht="15" customHeight="1">
      <c r="A563" s="8"/>
      <c r="B563" s="8"/>
      <c r="C563" s="8"/>
      <c r="D563" s="8"/>
      <c r="E563" s="8"/>
      <c r="F563" s="8"/>
      <c r="G563" s="8"/>
      <c r="H563" s="8"/>
      <c r="I563" s="8"/>
      <c r="J563" s="205"/>
      <c r="K563" s="200"/>
      <c r="M563" s="244"/>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row>
    <row r="564" spans="1:60" ht="15" customHeight="1">
      <c r="A564" s="8"/>
      <c r="B564" s="8"/>
      <c r="C564" s="8"/>
      <c r="D564" s="8"/>
      <c r="E564" s="8"/>
      <c r="F564" s="8"/>
      <c r="G564" s="8"/>
      <c r="H564" s="8"/>
      <c r="I564" s="8"/>
      <c r="J564" s="205"/>
      <c r="K564" s="200"/>
      <c r="M564" s="244"/>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row>
    <row r="565" spans="1:60" ht="15" customHeight="1">
      <c r="A565" s="8"/>
      <c r="B565" s="8"/>
      <c r="C565" s="8"/>
      <c r="D565" s="8"/>
      <c r="E565" s="8"/>
      <c r="F565" s="8"/>
      <c r="G565" s="8"/>
      <c r="H565" s="8"/>
      <c r="I565" s="8"/>
      <c r="J565" s="205"/>
      <c r="K565" s="200"/>
      <c r="M565" s="244"/>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row>
    <row r="566" spans="1:60" ht="15" customHeight="1">
      <c r="A566" s="8"/>
      <c r="B566" s="8"/>
      <c r="C566" s="8"/>
      <c r="D566" s="8"/>
      <c r="E566" s="8"/>
      <c r="F566" s="8"/>
      <c r="G566" s="8"/>
      <c r="H566" s="8"/>
      <c r="I566" s="8"/>
      <c r="J566" s="205"/>
      <c r="K566" s="200"/>
      <c r="M566" s="244"/>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row>
    <row r="567" spans="1:60" ht="15" customHeight="1">
      <c r="A567" s="8"/>
      <c r="B567" s="8"/>
      <c r="C567" s="8"/>
      <c r="D567" s="8"/>
      <c r="E567" s="8"/>
      <c r="F567" s="8"/>
      <c r="G567" s="8"/>
      <c r="H567" s="8"/>
      <c r="I567" s="8"/>
      <c r="J567" s="205"/>
      <c r="K567" s="200"/>
      <c r="M567" s="244"/>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row>
    <row r="568" spans="1:60" ht="15" customHeight="1">
      <c r="A568" s="8"/>
      <c r="B568" s="8"/>
      <c r="C568" s="8"/>
      <c r="D568" s="8"/>
      <c r="E568" s="8"/>
      <c r="F568" s="8"/>
      <c r="G568" s="8"/>
      <c r="H568" s="8"/>
      <c r="I568" s="8"/>
      <c r="J568" s="205"/>
      <c r="K568" s="200"/>
      <c r="M568" s="244"/>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row>
    <row r="569" spans="1:60" ht="15" customHeight="1">
      <c r="A569" s="8"/>
      <c r="B569" s="8"/>
      <c r="C569" s="8"/>
      <c r="D569" s="8"/>
      <c r="E569" s="8"/>
      <c r="F569" s="8"/>
      <c r="G569" s="8"/>
      <c r="H569" s="8"/>
      <c r="I569" s="8"/>
      <c r="J569" s="205"/>
      <c r="K569" s="200"/>
      <c r="M569" s="244"/>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row>
    <row r="570" spans="1:60" ht="15" customHeight="1">
      <c r="A570" s="8"/>
      <c r="B570" s="8"/>
      <c r="C570" s="8"/>
      <c r="D570" s="8"/>
      <c r="E570" s="8"/>
      <c r="F570" s="8"/>
      <c r="G570" s="8"/>
      <c r="H570" s="8"/>
      <c r="I570" s="8"/>
      <c r="J570" s="205"/>
      <c r="K570" s="200"/>
      <c r="M570" s="244"/>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row>
    <row r="571" spans="1:60" ht="15" customHeight="1">
      <c r="A571" s="8"/>
      <c r="B571" s="8"/>
      <c r="C571" s="8"/>
      <c r="D571" s="8"/>
      <c r="E571" s="8"/>
      <c r="F571" s="8"/>
      <c r="G571" s="8"/>
      <c r="H571" s="8"/>
      <c r="I571" s="8"/>
      <c r="J571" s="205"/>
      <c r="K571" s="200"/>
      <c r="M571" s="244"/>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row>
    <row r="572" spans="1:60" ht="15" customHeight="1">
      <c r="A572" s="8"/>
      <c r="B572" s="8"/>
      <c r="C572" s="8"/>
      <c r="D572" s="8"/>
      <c r="E572" s="8"/>
      <c r="F572" s="8"/>
      <c r="G572" s="8"/>
      <c r="H572" s="8"/>
      <c r="I572" s="8"/>
      <c r="J572" s="205"/>
      <c r="K572" s="200"/>
      <c r="M572" s="244"/>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row>
    <row r="573" spans="1:60" ht="15" customHeight="1">
      <c r="A573" s="8"/>
      <c r="B573" s="8"/>
      <c r="C573" s="8"/>
      <c r="D573" s="8"/>
      <c r="E573" s="8"/>
      <c r="F573" s="8"/>
      <c r="G573" s="8"/>
      <c r="H573" s="8"/>
      <c r="I573" s="8"/>
      <c r="J573" s="205"/>
      <c r="K573" s="200"/>
      <c r="M573" s="244"/>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row>
    <row r="574" spans="1:60" ht="15" customHeight="1">
      <c r="A574" s="8"/>
      <c r="B574" s="8"/>
      <c r="C574" s="8"/>
      <c r="D574" s="8"/>
      <c r="E574" s="8"/>
      <c r="F574" s="8"/>
      <c r="G574" s="8"/>
      <c r="H574" s="8"/>
      <c r="I574" s="8"/>
      <c r="J574" s="205"/>
      <c r="K574" s="200"/>
      <c r="M574" s="244"/>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row>
    <row r="575" spans="1:60" ht="15" customHeight="1">
      <c r="A575" s="8"/>
      <c r="B575" s="8"/>
      <c r="C575" s="8"/>
      <c r="D575" s="8"/>
      <c r="E575" s="8"/>
      <c r="F575" s="8"/>
      <c r="G575" s="8"/>
      <c r="H575" s="8"/>
      <c r="I575" s="8"/>
      <c r="J575" s="205"/>
      <c r="K575" s="200"/>
      <c r="M575" s="244"/>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row>
    <row r="576" spans="1:60" ht="15" customHeight="1">
      <c r="A576" s="8"/>
      <c r="B576" s="8"/>
      <c r="C576" s="8"/>
      <c r="D576" s="8"/>
      <c r="E576" s="8"/>
      <c r="F576" s="8"/>
      <c r="G576" s="8"/>
      <c r="H576" s="8"/>
      <c r="I576" s="8"/>
      <c r="J576" s="205"/>
      <c r="K576" s="200"/>
      <c r="M576" s="244"/>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row>
    <row r="577" spans="1:60" ht="15" customHeight="1">
      <c r="A577" s="8"/>
      <c r="B577" s="8"/>
      <c r="C577" s="8"/>
      <c r="D577" s="8"/>
      <c r="E577" s="8"/>
      <c r="F577" s="8"/>
      <c r="G577" s="8"/>
      <c r="H577" s="8"/>
      <c r="I577" s="8"/>
      <c r="J577" s="205"/>
      <c r="K577" s="200"/>
      <c r="M577" s="244"/>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row>
    <row r="578" ht="15" customHeight="1">
      <c r="K578" s="200"/>
    </row>
    <row r="579" ht="15" customHeight="1">
      <c r="K579" s="200"/>
    </row>
    <row r="580" ht="15" customHeight="1">
      <c r="K580" s="200"/>
    </row>
    <row r="581" ht="15" customHeight="1">
      <c r="K581" s="200"/>
    </row>
    <row r="582" ht="15" customHeight="1">
      <c r="K582" s="200"/>
    </row>
    <row r="583" ht="15" customHeight="1">
      <c r="K583" s="200"/>
    </row>
    <row r="584" ht="15" customHeight="1">
      <c r="K584" s="200"/>
    </row>
    <row r="585" ht="15" customHeight="1">
      <c r="K585" s="200"/>
    </row>
    <row r="586" ht="15" customHeight="1">
      <c r="K586" s="200"/>
    </row>
    <row r="587" ht="15" customHeight="1">
      <c r="K587" s="200"/>
    </row>
    <row r="588" ht="15" customHeight="1">
      <c r="K588" s="200"/>
    </row>
    <row r="589" ht="15" customHeight="1">
      <c r="K589" s="200"/>
    </row>
    <row r="590" ht="15" customHeight="1">
      <c r="K590" s="200"/>
    </row>
    <row r="591" ht="15" customHeight="1">
      <c r="K591" s="200"/>
    </row>
    <row r="592" spans="1:60" s="22" customFormat="1" ht="15" customHeight="1">
      <c r="A592" s="14"/>
      <c r="B592" s="15"/>
      <c r="C592" s="14"/>
      <c r="D592" s="16"/>
      <c r="E592" s="16"/>
      <c r="F592" s="16"/>
      <c r="G592" s="17"/>
      <c r="H592" s="14"/>
      <c r="I592" s="14"/>
      <c r="J592" s="200"/>
      <c r="K592" s="200"/>
      <c r="L592" s="242"/>
      <c r="M592" s="243"/>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row>
    <row r="593" spans="11:13" ht="15">
      <c r="K593" s="242"/>
      <c r="M593" s="247"/>
    </row>
    <row r="594" spans="11:13" ht="15">
      <c r="K594" s="242"/>
      <c r="M594" s="247"/>
    </row>
    <row r="595" ht="15">
      <c r="K595" s="242"/>
    </row>
    <row r="596" ht="15">
      <c r="K596" s="242"/>
    </row>
    <row r="597" ht="15">
      <c r="K597" s="242"/>
    </row>
  </sheetData>
  <sheetProtection/>
  <mergeCells count="354">
    <mergeCell ref="A516:A521"/>
    <mergeCell ref="C419:C420"/>
    <mergeCell ref="B425:B427"/>
    <mergeCell ref="H532:H534"/>
    <mergeCell ref="G532:G534"/>
    <mergeCell ref="I425:I427"/>
    <mergeCell ref="G505:G511"/>
    <mergeCell ref="I495:I496"/>
    <mergeCell ref="B419:B423"/>
    <mergeCell ref="I329:I331"/>
    <mergeCell ref="E537:E540"/>
    <mergeCell ref="A505:A511"/>
    <mergeCell ref="G516:G521"/>
    <mergeCell ref="H516:H521"/>
    <mergeCell ref="A419:A422"/>
    <mergeCell ref="A416:A418"/>
    <mergeCell ref="E516:E521"/>
    <mergeCell ref="A537:A540"/>
    <mergeCell ref="I537:I540"/>
    <mergeCell ref="I271:I273"/>
    <mergeCell ref="I322:I324"/>
    <mergeCell ref="I332:I333"/>
    <mergeCell ref="B247:B248"/>
    <mergeCell ref="I335:I337"/>
    <mergeCell ref="I246:I248"/>
    <mergeCell ref="G283:G285"/>
    <mergeCell ref="H297:H298"/>
    <mergeCell ref="G316:G318"/>
    <mergeCell ref="H271:H273"/>
    <mergeCell ref="A243:A244"/>
    <mergeCell ref="B332:B333"/>
    <mergeCell ref="B329:B331"/>
    <mergeCell ref="B243:B244"/>
    <mergeCell ref="B353:B360"/>
    <mergeCell ref="A332:A333"/>
    <mergeCell ref="B344:B347"/>
    <mergeCell ref="B284:B285"/>
    <mergeCell ref="B297:B298"/>
    <mergeCell ref="I397:I399"/>
    <mergeCell ref="D419:D420"/>
    <mergeCell ref="H419:H423"/>
    <mergeCell ref="G537:G540"/>
    <mergeCell ref="H498:H499"/>
    <mergeCell ref="I498:I499"/>
    <mergeCell ref="H537:H540"/>
    <mergeCell ref="I493:I494"/>
    <mergeCell ref="I441:I442"/>
    <mergeCell ref="H441:H442"/>
    <mergeCell ref="I85:I90"/>
    <mergeCell ref="B537:B540"/>
    <mergeCell ref="J421:J422"/>
    <mergeCell ref="I392:I393"/>
    <mergeCell ref="H277:H280"/>
    <mergeCell ref="I297:I298"/>
    <mergeCell ref="I382:I383"/>
    <mergeCell ref="I361:I364"/>
    <mergeCell ref="I516:I521"/>
    <mergeCell ref="B516:B521"/>
    <mergeCell ref="M421:M422"/>
    <mergeCell ref="J419:J420"/>
    <mergeCell ref="K419:K420"/>
    <mergeCell ref="L419:L420"/>
    <mergeCell ref="M419:M420"/>
    <mergeCell ref="L421:L422"/>
    <mergeCell ref="K421:K422"/>
    <mergeCell ref="H18:H19"/>
    <mergeCell ref="H143:H144"/>
    <mergeCell ref="I18:I19"/>
    <mergeCell ref="I127:I128"/>
    <mergeCell ref="I112:I115"/>
    <mergeCell ref="I71:I72"/>
    <mergeCell ref="H24:H32"/>
    <mergeCell ref="I24:I32"/>
    <mergeCell ref="H112:H115"/>
    <mergeCell ref="I140:I141"/>
    <mergeCell ref="J1:M1"/>
    <mergeCell ref="A3:M3"/>
    <mergeCell ref="J6:K6"/>
    <mergeCell ref="A5:B7"/>
    <mergeCell ref="J5:M5"/>
    <mergeCell ref="F5:F7"/>
    <mergeCell ref="J2:M2"/>
    <mergeCell ref="G5:I6"/>
    <mergeCell ref="D5:D7"/>
    <mergeCell ref="E5:E7"/>
    <mergeCell ref="C5:C7"/>
    <mergeCell ref="L6:M6"/>
    <mergeCell ref="G135:G137"/>
    <mergeCell ref="I118:I119"/>
    <mergeCell ref="I63:I64"/>
    <mergeCell ref="I105:I106"/>
    <mergeCell ref="G71:G72"/>
    <mergeCell ref="H105:H106"/>
    <mergeCell ref="H46:H62"/>
    <mergeCell ref="G18:G19"/>
    <mergeCell ref="B547:D547"/>
    <mergeCell ref="C544:D544"/>
    <mergeCell ref="B495:B496"/>
    <mergeCell ref="G416:G418"/>
    <mergeCell ref="G361:G364"/>
    <mergeCell ref="G322:G324"/>
    <mergeCell ref="G332:G333"/>
    <mergeCell ref="B377:B378"/>
    <mergeCell ref="B361:B364"/>
    <mergeCell ref="G329:G331"/>
    <mergeCell ref="G224:G226"/>
    <mergeCell ref="H236:H237"/>
    <mergeCell ref="H212:H213"/>
    <mergeCell ref="H229:H230"/>
    <mergeCell ref="H238:H239"/>
    <mergeCell ref="H224:H226"/>
    <mergeCell ref="G212:G213"/>
    <mergeCell ref="G229:G230"/>
    <mergeCell ref="H397:H399"/>
    <mergeCell ref="H505:H511"/>
    <mergeCell ref="H382:H383"/>
    <mergeCell ref="G498:G499"/>
    <mergeCell ref="G368:G371"/>
    <mergeCell ref="H493:H494"/>
    <mergeCell ref="H425:H427"/>
    <mergeCell ref="G495:G496"/>
    <mergeCell ref="H495:H496"/>
    <mergeCell ref="G397:G399"/>
    <mergeCell ref="B368:B371"/>
    <mergeCell ref="H299:H300"/>
    <mergeCell ref="H316:H318"/>
    <mergeCell ref="B366:B367"/>
    <mergeCell ref="G349:G351"/>
    <mergeCell ref="H349:H351"/>
    <mergeCell ref="H344:H347"/>
    <mergeCell ref="G344:G347"/>
    <mergeCell ref="H365:H367"/>
    <mergeCell ref="H332:H333"/>
    <mergeCell ref="H183:H186"/>
    <mergeCell ref="G161:G162"/>
    <mergeCell ref="H161:H162"/>
    <mergeCell ref="D217:D218"/>
    <mergeCell ref="E196:E198"/>
    <mergeCell ref="E181:E182"/>
    <mergeCell ref="E217:E218"/>
    <mergeCell ref="F196:F198"/>
    <mergeCell ref="G203:G204"/>
    <mergeCell ref="H198:H199"/>
    <mergeCell ref="B238:B239"/>
    <mergeCell ref="A236:A237"/>
    <mergeCell ref="B203:B204"/>
    <mergeCell ref="B138:B139"/>
    <mergeCell ref="A135:A136"/>
    <mergeCell ref="B55:B58"/>
    <mergeCell ref="B140:B141"/>
    <mergeCell ref="A238:A239"/>
    <mergeCell ref="A118:A119"/>
    <mergeCell ref="B135:B136"/>
    <mergeCell ref="A24:A25"/>
    <mergeCell ref="B145:B146"/>
    <mergeCell ref="A138:A139"/>
    <mergeCell ref="B118:B119"/>
    <mergeCell ref="A126:A128"/>
    <mergeCell ref="B126:B128"/>
    <mergeCell ref="A35:A36"/>
    <mergeCell ref="A74:A75"/>
    <mergeCell ref="A81:A82"/>
    <mergeCell ref="A181:A182"/>
    <mergeCell ref="H147:H148"/>
    <mergeCell ref="H135:H137"/>
    <mergeCell ref="A147:A148"/>
    <mergeCell ref="B143:B144"/>
    <mergeCell ref="G157:G159"/>
    <mergeCell ref="G181:G182"/>
    <mergeCell ref="C181:C182"/>
    <mergeCell ref="A143:A144"/>
    <mergeCell ref="C219:C220"/>
    <mergeCell ref="B181:B182"/>
    <mergeCell ref="C196:C198"/>
    <mergeCell ref="A217:A218"/>
    <mergeCell ref="A196:A198"/>
    <mergeCell ref="B147:B148"/>
    <mergeCell ref="B219:B220"/>
    <mergeCell ref="B196:B199"/>
    <mergeCell ref="C217:C218"/>
    <mergeCell ref="A203:A204"/>
    <mergeCell ref="M219:M220"/>
    <mergeCell ref="K217:K218"/>
    <mergeCell ref="M196:M198"/>
    <mergeCell ref="K219:K220"/>
    <mergeCell ref="M217:M218"/>
    <mergeCell ref="A219:A220"/>
    <mergeCell ref="J219:J220"/>
    <mergeCell ref="K196:K198"/>
    <mergeCell ref="L196:L198"/>
    <mergeCell ref="J196:J198"/>
    <mergeCell ref="K181:K182"/>
    <mergeCell ref="L181:L182"/>
    <mergeCell ref="G24:G32"/>
    <mergeCell ref="G145:G146"/>
    <mergeCell ref="G147:G148"/>
    <mergeCell ref="G140:G141"/>
    <mergeCell ref="G85:G90"/>
    <mergeCell ref="H127:H128"/>
    <mergeCell ref="H63:H64"/>
    <mergeCell ref="G46:G62"/>
    <mergeCell ref="J217:J218"/>
    <mergeCell ref="I212:I213"/>
    <mergeCell ref="B24:B25"/>
    <mergeCell ref="I46:I62"/>
    <mergeCell ref="G112:G115"/>
    <mergeCell ref="B88:B90"/>
    <mergeCell ref="G63:G64"/>
    <mergeCell ref="G118:G119"/>
    <mergeCell ref="H85:H90"/>
    <mergeCell ref="G127:G128"/>
    <mergeCell ref="M181:M182"/>
    <mergeCell ref="J181:J182"/>
    <mergeCell ref="L219:L220"/>
    <mergeCell ref="G236:G237"/>
    <mergeCell ref="G243:G244"/>
    <mergeCell ref="H181:H182"/>
    <mergeCell ref="I181:I182"/>
    <mergeCell ref="L217:L218"/>
    <mergeCell ref="H203:H204"/>
    <mergeCell ref="I183:I186"/>
    <mergeCell ref="B392:B393"/>
    <mergeCell ref="G419:G423"/>
    <mergeCell ref="B382:B384"/>
    <mergeCell ref="F421:F422"/>
    <mergeCell ref="G392:G393"/>
    <mergeCell ref="C421:C422"/>
    <mergeCell ref="E421:E422"/>
    <mergeCell ref="B396:B399"/>
    <mergeCell ref="B416:B418"/>
    <mergeCell ref="F419:F420"/>
    <mergeCell ref="B15:B16"/>
    <mergeCell ref="G143:G144"/>
    <mergeCell ref="I143:I144"/>
    <mergeCell ref="I145:I146"/>
    <mergeCell ref="H71:H72"/>
    <mergeCell ref="B493:B494"/>
    <mergeCell ref="H118:H119"/>
    <mergeCell ref="D181:D182"/>
    <mergeCell ref="G183:G186"/>
    <mergeCell ref="H329:H331"/>
    <mergeCell ref="I349:I351"/>
    <mergeCell ref="I419:I423"/>
    <mergeCell ref="I374:I375"/>
    <mergeCell ref="I377:I380"/>
    <mergeCell ref="H392:H393"/>
    <mergeCell ref="H416:H418"/>
    <mergeCell ref="I416:I418"/>
    <mergeCell ref="I353:I358"/>
    <mergeCell ref="I368:I371"/>
    <mergeCell ref="H361:H364"/>
    <mergeCell ref="G277:G280"/>
    <mergeCell ref="H287:H289"/>
    <mergeCell ref="G299:G300"/>
    <mergeCell ref="I316:I318"/>
    <mergeCell ref="H303:H305"/>
    <mergeCell ref="I277:I280"/>
    <mergeCell ref="I299:I300"/>
    <mergeCell ref="I283:I285"/>
    <mergeCell ref="D421:D422"/>
    <mergeCell ref="B441:B442"/>
    <mergeCell ref="G441:G442"/>
    <mergeCell ref="E419:E420"/>
    <mergeCell ref="G425:G427"/>
    <mergeCell ref="I488:I489"/>
    <mergeCell ref="B532:B533"/>
    <mergeCell ref="G488:G489"/>
    <mergeCell ref="H488:H489"/>
    <mergeCell ref="B505:B511"/>
    <mergeCell ref="G493:G494"/>
    <mergeCell ref="I532:I534"/>
    <mergeCell ref="I505:I511"/>
    <mergeCell ref="G382:G383"/>
    <mergeCell ref="B299:B300"/>
    <mergeCell ref="F219:F220"/>
    <mergeCell ref="B236:B237"/>
    <mergeCell ref="B317:B318"/>
    <mergeCell ref="B322:B323"/>
    <mergeCell ref="B303:B305"/>
    <mergeCell ref="G297:G298"/>
    <mergeCell ref="D219:D220"/>
    <mergeCell ref="E219:E220"/>
    <mergeCell ref="I229:I230"/>
    <mergeCell ref="G287:G289"/>
    <mergeCell ref="I287:I289"/>
    <mergeCell ref="I303:I305"/>
    <mergeCell ref="G335:G337"/>
    <mergeCell ref="H368:H371"/>
    <mergeCell ref="G365:G367"/>
    <mergeCell ref="I365:I367"/>
    <mergeCell ref="I344:I347"/>
    <mergeCell ref="G303:G305"/>
    <mergeCell ref="G377:G380"/>
    <mergeCell ref="H265:H268"/>
    <mergeCell ref="G198:G199"/>
    <mergeCell ref="H353:H358"/>
    <mergeCell ref="H246:H248"/>
    <mergeCell ref="G246:G248"/>
    <mergeCell ref="H243:H244"/>
    <mergeCell ref="G374:G375"/>
    <mergeCell ref="H374:H375"/>
    <mergeCell ref="H377:H380"/>
    <mergeCell ref="I203:I204"/>
    <mergeCell ref="G353:G360"/>
    <mergeCell ref="H335:H337"/>
    <mergeCell ref="H283:H285"/>
    <mergeCell ref="G265:G268"/>
    <mergeCell ref="G271:G273"/>
    <mergeCell ref="G238:G239"/>
    <mergeCell ref="G221:G222"/>
    <mergeCell ref="H322:H324"/>
    <mergeCell ref="I265:I268"/>
    <mergeCell ref="G35:G39"/>
    <mergeCell ref="H35:H39"/>
    <mergeCell ref="B85:B87"/>
    <mergeCell ref="G105:G106"/>
    <mergeCell ref="I35:I39"/>
    <mergeCell ref="B35:B36"/>
    <mergeCell ref="B74:B75"/>
    <mergeCell ref="H74:H75"/>
    <mergeCell ref="I74:I75"/>
    <mergeCell ref="B49:B51"/>
    <mergeCell ref="I161:I162"/>
    <mergeCell ref="G188:G189"/>
    <mergeCell ref="I243:I244"/>
    <mergeCell ref="I221:I222"/>
    <mergeCell ref="I224:I226"/>
    <mergeCell ref="I238:I239"/>
    <mergeCell ref="H221:H222"/>
    <mergeCell ref="I236:I237"/>
    <mergeCell ref="H188:H189"/>
    <mergeCell ref="I198:I199"/>
    <mergeCell ref="I147:I148"/>
    <mergeCell ref="I157:I159"/>
    <mergeCell ref="I138:I139"/>
    <mergeCell ref="H138:H139"/>
    <mergeCell ref="H140:H141"/>
    <mergeCell ref="H145:H146"/>
    <mergeCell ref="G74:G75"/>
    <mergeCell ref="F181:F182"/>
    <mergeCell ref="D196:D198"/>
    <mergeCell ref="B217:B218"/>
    <mergeCell ref="F217:F218"/>
    <mergeCell ref="G138:G139"/>
    <mergeCell ref="B402:B407"/>
    <mergeCell ref="G402:G407"/>
    <mergeCell ref="H402:H407"/>
    <mergeCell ref="I402:I407"/>
    <mergeCell ref="E353:E360"/>
    <mergeCell ref="A85:A87"/>
    <mergeCell ref="A88:A90"/>
    <mergeCell ref="I188:I189"/>
    <mergeCell ref="I135:I137"/>
    <mergeCell ref="H157:H159"/>
  </mergeCells>
  <printOptions/>
  <pageMargins left="0.3937007874015748" right="0" top="0.1968503937007874" bottom="0" header="0.4724409448818898" footer="0.4330708661417323"/>
  <pageSetup fitToHeight="25"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User</cp:lastModifiedBy>
  <cp:lastPrinted>2021-05-19T10:21:39Z</cp:lastPrinted>
  <dcterms:created xsi:type="dcterms:W3CDTF">2007-10-09T08:43:44Z</dcterms:created>
  <dcterms:modified xsi:type="dcterms:W3CDTF">2022-02-03T05:27:59Z</dcterms:modified>
  <cp:category/>
  <cp:version/>
  <cp:contentType/>
  <cp:contentStatus/>
</cp:coreProperties>
</file>